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mc:AlternateContent xmlns:mc="http://schemas.openxmlformats.org/markup-compatibility/2006">
    <mc:Choice Requires="x15">
      <x15ac:absPath xmlns:x15ac="http://schemas.microsoft.com/office/spreadsheetml/2010/11/ac" url="C:\Users\Matt\Dropbox\School\GARDER\Sites\"/>
    </mc:Choice>
  </mc:AlternateContent>
  <bookViews>
    <workbookView xWindow="0" yWindow="0" windowWidth="15360" windowHeight="5880" tabRatio="809" activeTab="5"/>
  </bookViews>
  <sheets>
    <sheet name="BMP Selection" sheetId="1" r:id="rId1"/>
    <sheet name="Detention Pond" sheetId="2" r:id="rId2"/>
    <sheet name="Infiltration Trench" sheetId="3" r:id="rId3"/>
    <sheet name="Grassed Swale" sheetId="5" r:id="rId4"/>
    <sheet name="Grassed Swale Rock Check Dam" sheetId="8" r:id="rId5"/>
    <sheet name="Bioretention (Rain Garden)" sheetId="6" r:id="rId6"/>
  </sheets>
  <definedNames>
    <definedName name="BMPs">'BMP Selection'!$AM$3:$AM$5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 i="3" l="1"/>
  <c r="B13" i="8" l="1"/>
  <c r="B7" i="5"/>
  <c r="AX3" i="6" l="1"/>
  <c r="AX4" i="6"/>
  <c r="AX5" i="6"/>
  <c r="AX6" i="6"/>
  <c r="AX7" i="6"/>
  <c r="AX8" i="6"/>
  <c r="AX9" i="6"/>
  <c r="AX10" i="6"/>
  <c r="AX11" i="6"/>
  <c r="AX12" i="6"/>
  <c r="AX2" i="6"/>
  <c r="B5" i="6" l="1"/>
  <c r="BA11" i="8" l="1"/>
  <c r="BA10" i="8"/>
  <c r="BA9" i="8"/>
  <c r="BA8" i="8"/>
  <c r="BA7" i="8"/>
  <c r="BA6" i="8"/>
  <c r="BA5" i="8"/>
  <c r="BA4" i="8"/>
  <c r="AK3" i="8"/>
  <c r="AK4" i="8"/>
  <c r="AK5" i="8"/>
  <c r="AK6" i="8"/>
  <c r="AK7" i="8"/>
  <c r="AK8" i="8"/>
  <c r="AK9" i="8"/>
  <c r="AK10" i="8"/>
  <c r="AK11" i="8"/>
  <c r="AK12" i="8"/>
  <c r="AK13" i="8"/>
  <c r="AK2" i="8"/>
  <c r="B11" i="8"/>
  <c r="B12" i="8" s="1"/>
  <c r="B15" i="8" l="1"/>
  <c r="A5" i="1" l="1"/>
  <c r="AT3" i="8"/>
  <c r="AT4" i="8" s="1"/>
  <c r="AT5" i="8" s="1"/>
  <c r="AT6" i="8" s="1"/>
  <c r="AT7" i="8" s="1"/>
  <c r="AT8" i="8" s="1"/>
  <c r="AT9" i="8" s="1"/>
  <c r="AT10" i="8" s="1"/>
  <c r="AT11" i="8" s="1"/>
  <c r="AV3" i="5"/>
  <c r="AV4" i="5" s="1"/>
  <c r="AV5" i="5" s="1"/>
  <c r="AV6" i="5" s="1"/>
  <c r="AV7" i="5" s="1"/>
  <c r="AV8" i="5" s="1"/>
  <c r="AV9" i="5" s="1"/>
  <c r="AV10" i="5" s="1"/>
  <c r="AV11" i="5" s="1"/>
  <c r="AP13" i="8"/>
  <c r="AP12" i="8"/>
  <c r="AP11" i="8"/>
  <c r="B16" i="8"/>
  <c r="B18" i="8" s="1"/>
  <c r="AP10" i="8"/>
  <c r="AP9" i="8"/>
  <c r="AP8" i="8"/>
  <c r="AP7" i="8"/>
  <c r="AP6" i="8"/>
  <c r="AP5" i="8"/>
  <c r="AP4" i="8"/>
  <c r="AP3" i="8"/>
  <c r="AP2" i="8"/>
  <c r="B17" i="8" l="1"/>
  <c r="D4" i="8"/>
  <c r="B14" i="8" s="1"/>
  <c r="B20" i="8" s="1"/>
  <c r="B6" i="6"/>
  <c r="AU14" i="6"/>
  <c r="AU13" i="6"/>
  <c r="AU12" i="6"/>
  <c r="AU11" i="6"/>
  <c r="AU10" i="6"/>
  <c r="AU9" i="6"/>
  <c r="AU8" i="6"/>
  <c r="AU7" i="6"/>
  <c r="AU6" i="6"/>
  <c r="AU5" i="6"/>
  <c r="AU3" i="6"/>
  <c r="AU2" i="6"/>
  <c r="B10" i="6" l="1"/>
  <c r="B7" i="6" l="1"/>
  <c r="B8" i="6" s="1"/>
  <c r="B9" i="6" l="1"/>
  <c r="B9" i="5"/>
  <c r="AL3" i="3" l="1"/>
  <c r="AL4" i="3"/>
  <c r="AL5" i="3"/>
  <c r="AL6" i="3"/>
  <c r="AL7" i="3"/>
  <c r="AL8" i="3"/>
  <c r="AL9" i="3"/>
  <c r="AL10" i="3"/>
  <c r="AL11" i="3"/>
  <c r="AL12" i="3"/>
  <c r="AL13" i="3"/>
  <c r="AL14" i="3"/>
  <c r="AL15" i="3"/>
  <c r="AL2" i="3"/>
  <c r="B4" i="2" l="1"/>
  <c r="D4" i="5" l="1"/>
  <c r="B8" i="5" s="1"/>
  <c r="AY24" i="5" l="1"/>
  <c r="AV26" i="5"/>
  <c r="AR13" i="5"/>
  <c r="AR12" i="5"/>
  <c r="AR11" i="5"/>
  <c r="AR10" i="5"/>
  <c r="AR9" i="5"/>
  <c r="AR8" i="5"/>
  <c r="AR7" i="5"/>
  <c r="AR6" i="5"/>
  <c r="AR5" i="5"/>
  <c r="AR4" i="5"/>
  <c r="AR3" i="5"/>
  <c r="AR2" i="5"/>
  <c r="B10" i="5"/>
  <c r="B13" i="5" s="1"/>
  <c r="B11" i="5" l="1"/>
  <c r="B8" i="3"/>
  <c r="B5" i="3"/>
  <c r="AW33" i="5" l="1"/>
  <c r="BH20" i="2" l="1"/>
  <c r="BH21" i="2"/>
  <c r="BH22" i="2"/>
  <c r="BH23" i="2"/>
  <c r="BH24" i="2"/>
  <c r="BH25" i="2"/>
  <c r="BH26" i="2"/>
  <c r="BH27" i="2"/>
  <c r="BK19" i="2"/>
  <c r="BC11" i="2" l="1"/>
  <c r="C27" i="2" l="1"/>
  <c r="C26" i="2"/>
  <c r="C25" i="2"/>
  <c r="C24" i="2"/>
  <c r="C23" i="2"/>
  <c r="C22" i="2"/>
  <c r="C21" i="2"/>
  <c r="C20" i="2"/>
  <c r="C19" i="2"/>
  <c r="C18" i="2"/>
  <c r="C17" i="2"/>
  <c r="C16" i="2"/>
  <c r="C15" i="2"/>
  <c r="R20" i="1" l="1"/>
  <c r="T19" i="1"/>
  <c r="G19" i="1"/>
  <c r="F19" i="1"/>
  <c r="B19" i="1"/>
  <c r="T18" i="1"/>
  <c r="G18" i="1"/>
  <c r="F18" i="1"/>
  <c r="B18" i="1"/>
  <c r="T17" i="1"/>
  <c r="G17" i="1"/>
  <c r="F17" i="1"/>
  <c r="B17" i="1"/>
  <c r="T16" i="1"/>
  <c r="L16" i="1"/>
  <c r="K16" i="1"/>
  <c r="G16" i="1"/>
  <c r="F16" i="1"/>
  <c r="B16" i="1"/>
  <c r="T15" i="1"/>
  <c r="L15" i="1"/>
  <c r="K15" i="1"/>
  <c r="G15" i="1"/>
  <c r="F15" i="1"/>
  <c r="B15" i="1"/>
  <c r="T14" i="1"/>
  <c r="L14" i="1"/>
  <c r="K14" i="1"/>
  <c r="G14" i="1"/>
  <c r="F14" i="1"/>
  <c r="B14" i="1"/>
  <c r="T13" i="1"/>
  <c r="L13" i="1"/>
  <c r="K13" i="1"/>
  <c r="G13" i="1"/>
  <c r="F13" i="1"/>
  <c r="B13" i="1"/>
  <c r="T12" i="1"/>
  <c r="L12" i="1"/>
  <c r="K12" i="1"/>
  <c r="G12" i="1"/>
  <c r="F12" i="1"/>
  <c r="B12" i="1"/>
  <c r="T11" i="1"/>
  <c r="T20" i="1" s="1"/>
  <c r="L11" i="1"/>
  <c r="K11" i="1"/>
  <c r="G11" i="1"/>
  <c r="F11" i="1"/>
  <c r="B32" i="2" l="1"/>
  <c r="AU4" i="2" l="1"/>
  <c r="B5" i="2" l="1"/>
  <c r="AS8" i="1"/>
  <c r="AS9" i="1"/>
  <c r="AS10" i="1"/>
  <c r="AS6" i="1"/>
  <c r="AS7" i="1"/>
  <c r="AS4" i="1"/>
  <c r="AS5" i="1"/>
  <c r="AS13" i="1"/>
  <c r="AS14" i="1"/>
  <c r="AS12" i="1"/>
  <c r="AS11" i="1"/>
  <c r="AS3" i="1"/>
  <c r="B6" i="2" l="1"/>
  <c r="B7" i="2"/>
  <c r="AU5" i="2"/>
  <c r="AU6" i="2"/>
  <c r="AU7" i="2"/>
  <c r="AU8" i="2"/>
  <c r="AU9" i="2"/>
  <c r="AU10" i="2"/>
  <c r="AU11" i="2"/>
  <c r="AU12" i="2"/>
  <c r="AU13" i="2"/>
  <c r="AU14" i="2"/>
  <c r="AU3" i="2"/>
  <c r="AU8" i="1"/>
  <c r="AU9" i="1"/>
  <c r="AU10" i="1"/>
  <c r="AU6" i="1"/>
  <c r="AU7" i="1"/>
  <c r="AV7" i="2" s="1"/>
  <c r="BB7" i="2" s="1"/>
  <c r="BC7" i="2" s="1"/>
  <c r="AU4" i="1"/>
  <c r="AV4" i="2" s="1"/>
  <c r="BB4" i="2" s="1"/>
  <c r="BC4" i="2" s="1"/>
  <c r="AU5" i="1"/>
  <c r="AV5" i="2" s="1"/>
  <c r="BB5" i="2" s="1"/>
  <c r="BC5" i="2" s="1"/>
  <c r="AU13" i="1"/>
  <c r="AU14" i="1"/>
  <c r="AU12" i="1"/>
  <c r="AU11" i="1"/>
  <c r="AV11" i="2" s="1"/>
  <c r="AU3" i="1"/>
  <c r="AV3" i="2" s="1"/>
  <c r="BB3" i="2" s="1"/>
  <c r="BC3" i="2" s="1"/>
  <c r="AU13" i="3"/>
  <c r="AU12" i="3"/>
  <c r="AU11" i="3"/>
  <c r="AU10" i="3"/>
  <c r="AU9" i="3"/>
  <c r="AU8" i="3"/>
  <c r="AU7" i="3"/>
  <c r="AU6" i="3"/>
  <c r="AU5" i="3"/>
  <c r="AU4" i="3"/>
  <c r="B6" i="3" s="1"/>
  <c r="B19" i="8" s="1"/>
  <c r="B21" i="8" s="1"/>
  <c r="B22" i="8" s="1"/>
  <c r="AU3" i="3"/>
  <c r="AU2" i="3"/>
  <c r="B7" i="3" l="1"/>
  <c r="B9" i="3" s="1"/>
  <c r="B10" i="3" s="1"/>
  <c r="B12" i="5"/>
  <c r="B14" i="5" s="1"/>
  <c r="B15" i="5" s="1"/>
  <c r="B8" i="2"/>
  <c r="AV14" i="2"/>
  <c r="BB14" i="2" s="1"/>
  <c r="BC14" i="2" s="1"/>
  <c r="AV8" i="2"/>
  <c r="BB8" i="2" s="1"/>
  <c r="BC8" i="2" s="1"/>
  <c r="AV12" i="2"/>
  <c r="BB12" i="2" s="1"/>
  <c r="BC12" i="2" s="1"/>
  <c r="AV13" i="2"/>
  <c r="BB13" i="2" s="1"/>
  <c r="BC13" i="2" s="1"/>
  <c r="AV6" i="2"/>
  <c r="BB6" i="2" s="1"/>
  <c r="BC6" i="2" s="1"/>
  <c r="AV9" i="2"/>
  <c r="AV10" i="2"/>
  <c r="BB10" i="2" s="1"/>
  <c r="BC10" i="2" s="1"/>
  <c r="BB9" i="2" l="1"/>
  <c r="BC9" i="2" s="1"/>
  <c r="B55" i="2" l="1"/>
  <c r="AZ39" i="2" s="1"/>
  <c r="B9" i="2"/>
  <c r="B10" i="2" l="1"/>
  <c r="B11" i="2" s="1"/>
  <c r="B11" i="6"/>
  <c r="B12" i="6" s="1"/>
</calcChain>
</file>

<file path=xl/sharedStrings.xml><?xml version="1.0" encoding="utf-8"?>
<sst xmlns="http://schemas.openxmlformats.org/spreadsheetml/2006/main" count="294" uniqueCount="143">
  <si>
    <t>Select BMP:</t>
  </si>
  <si>
    <t>Detention Pond</t>
  </si>
  <si>
    <t>Look at how different BMP Media affect filtration</t>
  </si>
  <si>
    <t>Select Generic Soil Type:</t>
  </si>
  <si>
    <t>Clay</t>
  </si>
  <si>
    <t>Sandy Clay</t>
  </si>
  <si>
    <t>Sandy Clay Loam</t>
  </si>
  <si>
    <t>Sandy Loam</t>
  </si>
  <si>
    <t>Loamy Sand</t>
  </si>
  <si>
    <t>Sand</t>
  </si>
  <si>
    <t>Clay Loam</t>
  </si>
  <si>
    <t>Loam</t>
  </si>
  <si>
    <t>Silty Clay</t>
  </si>
  <si>
    <t>Silty Clay Loam</t>
  </si>
  <si>
    <t>Silt Loam</t>
  </si>
  <si>
    <t>Silt</t>
  </si>
  <si>
    <t>lb/ft^3</t>
  </si>
  <si>
    <t>D50 (mm)</t>
  </si>
  <si>
    <t>D50 (inches)</t>
  </si>
  <si>
    <t>Soil Particle Diameter (ft)</t>
  </si>
  <si>
    <r>
      <rPr>
        <sz val="11"/>
        <color theme="1"/>
        <rFont val="Calibri"/>
        <family val="2"/>
      </rPr>
      <t>ρ (</t>
    </r>
    <r>
      <rPr>
        <sz val="11"/>
        <color theme="1"/>
        <rFont val="Calibri"/>
        <family val="2"/>
        <scheme val="minor"/>
      </rPr>
      <t>g/cm^3)</t>
    </r>
  </si>
  <si>
    <r>
      <rPr>
        <sz val="11"/>
        <color theme="1"/>
        <rFont val="Calibri"/>
        <family val="2"/>
      </rPr>
      <t>ρ (lb</t>
    </r>
    <r>
      <rPr>
        <sz val="11"/>
        <color theme="1"/>
        <rFont val="Calibri"/>
        <family val="2"/>
        <scheme val="minor"/>
      </rPr>
      <t>/in^3)</t>
    </r>
  </si>
  <si>
    <r>
      <t>ν</t>
    </r>
    <r>
      <rPr>
        <sz val="9.9"/>
        <color theme="1"/>
        <rFont val="Calibri"/>
        <family val="2"/>
        <scheme val="minor"/>
      </rPr>
      <t xml:space="preserve">  @ 50</t>
    </r>
    <r>
      <rPr>
        <sz val="9.9"/>
        <color theme="1"/>
        <rFont val="Calibri"/>
        <family val="2"/>
      </rPr>
      <t>°</t>
    </r>
    <r>
      <rPr>
        <sz val="8.9"/>
        <color theme="1"/>
        <rFont val="Calibri"/>
        <family val="2"/>
      </rPr>
      <t xml:space="preserve">F </t>
    </r>
    <r>
      <rPr>
        <sz val="9.9"/>
        <color theme="1"/>
        <rFont val="Calibri"/>
        <family val="2"/>
        <scheme val="minor"/>
      </rPr>
      <t>(ft^2/sec)</t>
    </r>
  </si>
  <si>
    <t>kinematic viscosity of water</t>
  </si>
  <si>
    <r>
      <t>ρ</t>
    </r>
    <r>
      <rPr>
        <sz val="9.9"/>
        <color theme="1"/>
        <rFont val="Calibri"/>
        <family val="2"/>
        <scheme val="minor"/>
      </rPr>
      <t xml:space="preserve"> water (lb/in^3)</t>
    </r>
  </si>
  <si>
    <t xml:space="preserve"> </t>
  </si>
  <si>
    <t>RANK</t>
  </si>
  <si>
    <t>E</t>
  </si>
  <si>
    <t>V:A</t>
  </si>
  <si>
    <t>BMP Volume: Watershed Area Ratio</t>
  </si>
  <si>
    <t>Input TOTAL Watershed Area (Ac)</t>
  </si>
  <si>
    <t>`</t>
  </si>
  <si>
    <t>Input BMP Volume (Ac-ft)</t>
  </si>
  <si>
    <t>Generic Soil Type on Site</t>
  </si>
  <si>
    <t>Infiltration Trench</t>
  </si>
  <si>
    <t>Trench depths are usually between 0.9 and 3.7 meters (3 and 12 feet) (SEWRPC, 1991, Harrington, 1989). However, a depth of 2.4 meters (8 feet) is most commonly used (Schueler, 1987). A site specific trench depth can be calculated based on the soil infiltration rate, aggregate void space, and the trench storage time (Harrington, 1989). The stone aggregate used in the trench is normally 2.5 to 7.6 centimeters (1 to 3 inches) in diameter, which provides a void space of 40 percent (SEWRPC, 1991, Harrington, 1989, Schueler, 1987). (EPA Storm water Technology Fact Sheet Infiltration Trench)</t>
  </si>
  <si>
    <t>30-40% voids available for storage</t>
  </si>
  <si>
    <t>Site Conditions</t>
  </si>
  <si>
    <t>Results</t>
  </si>
  <si>
    <t>Strip #</t>
  </si>
  <si>
    <t>Total Length (ft)</t>
  </si>
  <si>
    <t>L1 (ft)</t>
  </si>
  <si>
    <t>Starting Elevation (ft)</t>
  </si>
  <si>
    <t>Ending Elevation (ft)</t>
  </si>
  <si>
    <t>∆H1 (ft)</t>
  </si>
  <si>
    <t>Slope1 %</t>
  </si>
  <si>
    <t>L2 (ft)</t>
  </si>
  <si>
    <t>∆H2 (ft)</t>
  </si>
  <si>
    <t>Slope2 %</t>
  </si>
  <si>
    <t>L3 (ft)</t>
  </si>
  <si>
    <t>∆H3 (ft)</t>
  </si>
  <si>
    <t>Slope Area (Ac.)</t>
  </si>
  <si>
    <t>Sediment Delivery (t/ac/yr)</t>
  </si>
  <si>
    <t>Sediment Delivery (t/yr)</t>
  </si>
  <si>
    <t>SITE</t>
  </si>
  <si>
    <t>Slope3 %</t>
  </si>
  <si>
    <t>(.2*εVA)+(.8*εD50)</t>
  </si>
  <si>
    <t>=</t>
  </si>
  <si>
    <t>D50 (feet) x2</t>
  </si>
  <si>
    <t>D From x3</t>
  </si>
  <si>
    <t>D To x1</t>
  </si>
  <si>
    <t>settling velocity</t>
  </si>
  <si>
    <t>d50</t>
  </si>
  <si>
    <t>settling velocity (ft/min)</t>
  </si>
  <si>
    <t>ε=(εVA*.2)+(εD50*.8)</t>
  </si>
  <si>
    <t>εVA=.0988ln(x)+.8986</t>
  </si>
  <si>
    <r>
      <t>Gravel (</t>
    </r>
    <r>
      <rPr>
        <sz val="11"/>
        <color theme="1"/>
        <rFont val="Calibri"/>
        <family val="2"/>
      </rPr>
      <t>η=40%)</t>
    </r>
  </si>
  <si>
    <t>No Fill</t>
  </si>
  <si>
    <t>Media Fill Type</t>
  </si>
  <si>
    <t xml:space="preserve">εD50= 6E+18x6 - 2E+16x5 + 2E+13x4 - 6E+09x3 + 1E+06x2 - 34.236x + 0.5004
</t>
  </si>
  <si>
    <t>Volume of Soil Transported Annually into BMP (ft^3/yr)</t>
  </si>
  <si>
    <t>Efficiency of BMP</t>
  </si>
  <si>
    <t>Volume of Soil Deposited into BMP (ft^3/yr)</t>
  </si>
  <si>
    <t>Estimated Lifespan of BMP (years)</t>
  </si>
  <si>
    <t>Gravel (η=40%)</t>
  </si>
  <si>
    <t>Select BMP Media Fill Type:</t>
  </si>
  <si>
    <t>Select Percent Filled Before Cleanout:</t>
  </si>
  <si>
    <t>efficiency as function of length</t>
  </si>
  <si>
    <t>efficiency as functionof slope</t>
  </si>
  <si>
    <t>From Use of Vegetative Controls for Treatment of Highway Runoff</t>
  </si>
  <si>
    <t>buffalo grass used in above test</t>
  </si>
  <si>
    <t>Input Length of Swale (ft):</t>
  </si>
  <si>
    <t>Input Slope of Swale (%):</t>
  </si>
  <si>
    <t>Select how Dense the Grass Cover is:</t>
  </si>
  <si>
    <t>Input Width of Swale (ft):</t>
  </si>
  <si>
    <t>BMP Efficiency:</t>
  </si>
  <si>
    <t>Volume Deposited in BMP Annually (ft^3/yr)</t>
  </si>
  <si>
    <t>Volume of BMP (ft^3)</t>
  </si>
  <si>
    <t>n</t>
  </si>
  <si>
    <t>Density</t>
  </si>
  <si>
    <t>T</t>
  </si>
  <si>
    <t>V=(kn/n)(R^(2/3)(S^(.5))</t>
  </si>
  <si>
    <t>T=L/((kn/n)(R^(2/3)(S^(.5)))</t>
  </si>
  <si>
    <r>
      <t>Chow, V. T. (1959). </t>
    </r>
    <r>
      <rPr>
        <i/>
        <sz val="8"/>
        <color rgb="FF000000"/>
        <rFont val="Arial Unicode MS"/>
        <family val="2"/>
      </rPr>
      <t>Open-channel hydraulics</t>
    </r>
    <r>
      <rPr>
        <sz val="8"/>
        <color rgb="FF000000"/>
        <rFont val="Arial Unicode MS"/>
        <family val="2"/>
      </rPr>
      <t>. New York: McGraw-Hill.</t>
    </r>
  </si>
  <si>
    <t>Efficiency Factor</t>
  </si>
  <si>
    <t>SETTLING y3VELOCITY RANGEy1 (m/s)</t>
  </si>
  <si>
    <t>SETTLING VELOCITY (ft/sec)y2</t>
  </si>
  <si>
    <t>Settling Velocity (ft/sec)</t>
  </si>
  <si>
    <t>SETTLING VELOCITY (ft/sec)</t>
  </si>
  <si>
    <t>Nara, Y. and R. Pitt. (2005). Alabama Highway Drainage Conservation Design Practices - Particulate Transport in Grass Swales and Grass Filters. UTCA Report 04116, Contract DTAR0023424. Department of Civil and Environmental Engineering, The University of Alabama, Tuscaloosa, AL. http://utca.eng.ua.edu/projects/final_reports/04117fnl.pdf. November 2003.</t>
  </si>
  <si>
    <t>efficiency</t>
  </si>
  <si>
    <t>Settling Duration</t>
  </si>
  <si>
    <t>Travel Time</t>
  </si>
  <si>
    <t>Settling Frequency</t>
  </si>
  <si>
    <t>Volume of Soil Transported Into BMP Annually (ft^3/yr)</t>
  </si>
  <si>
    <t>Volume of Soil Deposited in BMP (ft^3/yr)</t>
  </si>
  <si>
    <t>50-90%</t>
  </si>
  <si>
    <t>z</t>
  </si>
  <si>
    <t>Select horizontal side slope of the swale (z) (See diagram to right)</t>
  </si>
  <si>
    <t>Settling Duration (sec)</t>
  </si>
  <si>
    <t>Travel Time (sec)</t>
  </si>
  <si>
    <t>Input Sediment Delivery Data (T/YR):</t>
  </si>
  <si>
    <t>Input the Height of Grass (ft)</t>
  </si>
  <si>
    <t>Volume:Area Ratio *</t>
  </si>
  <si>
    <t>Grassed Swale</t>
  </si>
  <si>
    <t>See below table to calculate the total transport datafor a site from RUSLE2.</t>
  </si>
  <si>
    <t>* All values assume no sediment coming from banks, or vegetative debris  resulting in longer lifespan estimation.                                                                                                                                                           ** Permanent grass cover produces nearly no erosion, resulting in gross lifespan overestimation.                                                *** There would never be a 1 ac.-ft BMP on this size of site.</t>
  </si>
  <si>
    <t>n=</t>
  </si>
  <si>
    <t>*Recommended BMP area to be 1/5 the area of total site.</t>
  </si>
  <si>
    <t xml:space="preserve">Volume:Area Ratio </t>
  </si>
  <si>
    <t>Eff</t>
  </si>
  <si>
    <t>Input BMP Depth (ft)</t>
  </si>
  <si>
    <t>Total BMP Volume (Ac-ft)</t>
  </si>
  <si>
    <t>Bioretention (Rain Garden)</t>
  </si>
  <si>
    <t>Grassed Swale with Check Dam</t>
  </si>
  <si>
    <t>Grassed Swale Rock Check Dam</t>
  </si>
  <si>
    <t>Input TOTAL Length of Swale (ft):</t>
  </si>
  <si>
    <t>Input Spacing between each Dam (ft):</t>
  </si>
  <si>
    <t>Input Number of Dams in Swale:</t>
  </si>
  <si>
    <t>Input the Height of Dam(s) (ft):</t>
  </si>
  <si>
    <t>Input the Height of Grass (ft):</t>
  </si>
  <si>
    <t>Select horizontal side slope of the swale (z) (See diagram to right):</t>
  </si>
  <si>
    <t>Ditch Grade (%)</t>
  </si>
  <si>
    <t>Spacing (feet)</t>
  </si>
  <si>
    <t>Grades above 6% are not recommended</t>
  </si>
  <si>
    <t>Recommended Check Dam Spacing based on slope</t>
  </si>
  <si>
    <t>Check Dam Volume (Ac-ft)</t>
  </si>
  <si>
    <t>Input Total Watershed Area (Ac.):</t>
  </si>
  <si>
    <t>Volume: Area Ratio</t>
  </si>
  <si>
    <t>Input BMP Area (ft^2) *</t>
  </si>
  <si>
    <t>** Recommended depth is based on treating the first 0.5 inch of runoff over the site.</t>
  </si>
  <si>
    <t>Input Depth of Infiltration Cell Below Rain Garden (ft)</t>
  </si>
  <si>
    <t>Soil Density (lb/ft^3)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</si>
</sst>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0"/>
    <numFmt numFmtId="165" formatCode="0.000"/>
    <numFmt numFmtId="166" formatCode="0.0"/>
    <numFmt numFmtId="167" formatCode="0.0000"/>
  </numFmts>
  <fonts count="13" x14ac:knownFonts="1">
    <font>
      <sz val="11"/>
      <color theme="1"/>
      <name val="Calibri"/>
      <family val="2"/>
      <scheme val="minor"/>
    </font>
    <font>
      <b/>
      <sz val="11"/>
      <color theme="1"/>
      <name val="Calibri"/>
      <family val="2"/>
      <scheme val="minor"/>
    </font>
    <font>
      <sz val="20"/>
      <color theme="1"/>
      <name val="Calibri"/>
      <family val="2"/>
      <scheme val="minor"/>
    </font>
    <font>
      <sz val="11"/>
      <color theme="1"/>
      <name val="Calibri"/>
      <family val="2"/>
    </font>
    <font>
      <sz val="9.9"/>
      <color theme="1"/>
      <name val="Calibri"/>
      <family val="2"/>
    </font>
    <font>
      <sz val="9.9"/>
      <color theme="1"/>
      <name val="Calibri"/>
      <family val="2"/>
      <scheme val="minor"/>
    </font>
    <font>
      <sz val="8.9"/>
      <color theme="1"/>
      <name val="Calibri"/>
      <family val="2"/>
    </font>
    <font>
      <b/>
      <sz val="11"/>
      <color theme="1"/>
      <name val="Calibri"/>
      <family val="2"/>
    </font>
    <font>
      <sz val="9"/>
      <color rgb="FF595959"/>
      <name val="Calibri"/>
      <family val="2"/>
      <scheme val="minor"/>
    </font>
    <font>
      <sz val="11"/>
      <color theme="1"/>
      <name val="Calibri"/>
      <family val="2"/>
      <scheme val="minor"/>
    </font>
    <font>
      <sz val="8"/>
      <color rgb="FF000000"/>
      <name val="Arial Unicode MS"/>
      <family val="2"/>
    </font>
    <font>
      <i/>
      <sz val="8"/>
      <color rgb="FF000000"/>
      <name val="Arial Unicode MS"/>
      <family val="2"/>
    </font>
    <font>
      <sz val="9"/>
      <color rgb="FF5A5A5A"/>
      <name val="Calibri"/>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theme="4" tint="0.59999389629810485"/>
        <bgColor indexed="64"/>
      </patternFill>
    </fill>
  </fills>
  <borders count="2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9" fontId="9" fillId="0" borderId="0" applyFont="0" applyFill="0" applyBorder="0" applyAlignment="0" applyProtection="0"/>
  </cellStyleXfs>
  <cellXfs count="178">
    <xf numFmtId="0" fontId="0" fillId="0" borderId="0" xfId="0"/>
    <xf numFmtId="0" fontId="0" fillId="0" borderId="0" xfId="0" applyAlignment="1">
      <alignment wrapText="1"/>
    </xf>
    <xf numFmtId="0" fontId="2" fillId="0" borderId="0" xfId="0" applyFont="1" applyAlignment="1"/>
    <xf numFmtId="1" fontId="0" fillId="0" borderId="0" xfId="0" applyNumberFormat="1"/>
    <xf numFmtId="2" fontId="0" fillId="0" borderId="0" xfId="0" applyNumberFormat="1"/>
    <xf numFmtId="164" fontId="0" fillId="0" borderId="0" xfId="0" applyNumberFormat="1"/>
    <xf numFmtId="165" fontId="0" fillId="0" borderId="0" xfId="0" applyNumberFormat="1"/>
    <xf numFmtId="0" fontId="0" fillId="0" borderId="0" xfId="0" applyFont="1" applyAlignment="1">
      <alignment wrapText="1"/>
    </xf>
    <xf numFmtId="0" fontId="0" fillId="0" borderId="0" xfId="0" applyAlignment="1">
      <alignment horizontal="center" wrapText="1"/>
    </xf>
    <xf numFmtId="0" fontId="0" fillId="0" borderId="0" xfId="0" applyProtection="1"/>
    <xf numFmtId="2" fontId="0" fillId="0" borderId="0" xfId="0" applyNumberFormat="1" applyProtection="1"/>
    <xf numFmtId="0" fontId="0" fillId="0" borderId="0" xfId="0" applyAlignment="1" applyProtection="1">
      <alignment wrapText="1"/>
    </xf>
    <xf numFmtId="0" fontId="0" fillId="0" borderId="0" xfId="0" applyFill="1" applyProtection="1"/>
    <xf numFmtId="1" fontId="0" fillId="0" borderId="0" xfId="0" applyNumberFormat="1" applyProtection="1"/>
    <xf numFmtId="11" fontId="0" fillId="0" borderId="0" xfId="0" applyNumberFormat="1" applyProtection="1"/>
    <xf numFmtId="165" fontId="0" fillId="0" borderId="0" xfId="0" applyNumberFormat="1" applyFill="1" applyProtection="1"/>
    <xf numFmtId="0" fontId="1" fillId="0" borderId="4" xfId="0" applyFont="1" applyBorder="1"/>
    <xf numFmtId="0" fontId="1" fillId="0" borderId="5" xfId="0" applyFont="1" applyBorder="1" applyAlignment="1">
      <alignment horizontal="center" wrapText="1"/>
    </xf>
    <xf numFmtId="0" fontId="1" fillId="0" borderId="4" xfId="0" applyFont="1" applyBorder="1" applyAlignment="1">
      <alignment wrapText="1"/>
    </xf>
    <xf numFmtId="0" fontId="7" fillId="0" borderId="4" xfId="0" applyFont="1" applyBorder="1" applyAlignment="1">
      <alignment wrapText="1"/>
    </xf>
    <xf numFmtId="0" fontId="1" fillId="0" borderId="6" xfId="0" applyFont="1" applyFill="1" applyBorder="1" applyAlignment="1">
      <alignment wrapText="1"/>
    </xf>
    <xf numFmtId="0" fontId="0" fillId="0" borderId="7" xfId="0" applyBorder="1"/>
    <xf numFmtId="166" fontId="0" fillId="0" borderId="7" xfId="0" applyNumberFormat="1" applyBorder="1"/>
    <xf numFmtId="0" fontId="0" fillId="0" borderId="7" xfId="0" applyFill="1" applyBorder="1"/>
    <xf numFmtId="0" fontId="0" fillId="0" borderId="9" xfId="0" applyBorder="1"/>
    <xf numFmtId="166" fontId="0" fillId="0" borderId="9" xfId="0" applyNumberFormat="1" applyBorder="1"/>
    <xf numFmtId="0" fontId="0" fillId="0" borderId="9" xfId="0" applyFill="1" applyBorder="1"/>
    <xf numFmtId="0" fontId="0" fillId="0" borderId="4" xfId="0" applyBorder="1"/>
    <xf numFmtId="0" fontId="0" fillId="0" borderId="5" xfId="0" applyBorder="1"/>
    <xf numFmtId="0" fontId="0" fillId="0" borderId="10" xfId="0" applyBorder="1"/>
    <xf numFmtId="0" fontId="0" fillId="0" borderId="11" xfId="0" applyBorder="1"/>
    <xf numFmtId="0" fontId="0" fillId="0" borderId="10" xfId="0" applyFill="1" applyBorder="1"/>
    <xf numFmtId="165" fontId="0" fillId="0" borderId="0" xfId="0" applyNumberFormat="1" applyProtection="1"/>
    <xf numFmtId="0" fontId="0" fillId="0" borderId="0" xfId="0" applyAlignment="1">
      <alignment horizontal="left"/>
    </xf>
    <xf numFmtId="0" fontId="0" fillId="0" borderId="0" xfId="0" applyNumberFormat="1" applyProtection="1"/>
    <xf numFmtId="11" fontId="0" fillId="0" borderId="0" xfId="0" applyNumberFormat="1" applyAlignment="1" applyProtection="1">
      <alignment horizontal="left"/>
    </xf>
    <xf numFmtId="11" fontId="0" fillId="0" borderId="13" xfId="0" applyNumberFormat="1" applyBorder="1" applyProtection="1"/>
    <xf numFmtId="0" fontId="0" fillId="0" borderId="0" xfId="0" applyFont="1" applyAlignment="1" applyProtection="1">
      <alignment wrapText="1"/>
    </xf>
    <xf numFmtId="0" fontId="0" fillId="0" borderId="0" xfId="0" applyAlignment="1" applyProtection="1">
      <alignment horizontal="left"/>
    </xf>
    <xf numFmtId="11" fontId="0" fillId="0" borderId="14" xfId="0" applyNumberFormat="1" applyBorder="1" applyProtection="1"/>
    <xf numFmtId="0" fontId="1" fillId="0" borderId="0" xfId="0" applyFont="1" applyAlignment="1" applyProtection="1"/>
    <xf numFmtId="0" fontId="0" fillId="0" borderId="0" xfId="0" applyAlignment="1" applyProtection="1">
      <alignment horizontal="left" wrapText="1"/>
    </xf>
    <xf numFmtId="164" fontId="0" fillId="0" borderId="0" xfId="0" applyNumberFormat="1" applyAlignment="1" applyProtection="1">
      <alignment horizontal="left"/>
    </xf>
    <xf numFmtId="11" fontId="0" fillId="0" borderId="0" xfId="0" applyNumberFormat="1" applyFill="1" applyProtection="1"/>
    <xf numFmtId="11" fontId="0" fillId="0" borderId="13" xfId="0" applyNumberFormat="1" applyFill="1" applyBorder="1" applyProtection="1"/>
    <xf numFmtId="0" fontId="0" fillId="0" borderId="0" xfId="0" applyFill="1" applyAlignment="1">
      <alignment wrapText="1"/>
    </xf>
    <xf numFmtId="0" fontId="0" fillId="0" borderId="12" xfId="0" applyBorder="1" applyAlignment="1" applyProtection="1">
      <alignment wrapText="1"/>
    </xf>
    <xf numFmtId="0" fontId="0" fillId="0" borderId="0" xfId="0" applyAlignment="1" applyProtection="1">
      <alignment horizontal="center"/>
    </xf>
    <xf numFmtId="0" fontId="0" fillId="0" borderId="13" xfId="0" applyBorder="1" applyAlignment="1" applyProtection="1">
      <alignment wrapText="1"/>
    </xf>
    <xf numFmtId="10" fontId="0" fillId="0" borderId="0" xfId="0" applyNumberFormat="1" applyProtection="1"/>
    <xf numFmtId="0" fontId="1" fillId="0" borderId="0" xfId="0" applyFont="1"/>
    <xf numFmtId="0" fontId="8" fillId="0" borderId="0" xfId="0" applyFont="1" applyAlignment="1">
      <alignment horizontal="center" vertical="center" readingOrder="1"/>
    </xf>
    <xf numFmtId="0" fontId="0" fillId="0" borderId="0" xfId="1" applyNumberFormat="1" applyFont="1"/>
    <xf numFmtId="9" fontId="0" fillId="0" borderId="0" xfId="0" applyNumberFormat="1"/>
    <xf numFmtId="0" fontId="10" fillId="0" borderId="0" xfId="0" applyFont="1"/>
    <xf numFmtId="167" fontId="0" fillId="2" borderId="7" xfId="0" applyNumberFormat="1" applyFill="1" applyBorder="1" applyProtection="1">
      <protection locked="0"/>
    </xf>
    <xf numFmtId="10" fontId="0" fillId="2" borderId="7" xfId="0" applyNumberFormat="1" applyFill="1" applyBorder="1" applyProtection="1">
      <protection locked="0"/>
    </xf>
    <xf numFmtId="165" fontId="0" fillId="2" borderId="7" xfId="0" applyNumberFormat="1" applyFill="1" applyBorder="1" applyProtection="1">
      <protection locked="0"/>
    </xf>
    <xf numFmtId="0" fontId="0" fillId="0" borderId="7" xfId="0" applyBorder="1" applyAlignment="1" applyProtection="1">
      <alignment wrapText="1"/>
    </xf>
    <xf numFmtId="0" fontId="0" fillId="0" borderId="7" xfId="0" applyFill="1" applyBorder="1" applyProtection="1"/>
    <xf numFmtId="0" fontId="0" fillId="0" borderId="7" xfId="0" applyBorder="1" applyAlignment="1" applyProtection="1">
      <alignment horizontal="left" wrapText="1"/>
    </xf>
    <xf numFmtId="0" fontId="0" fillId="0" borderId="7" xfId="0" applyBorder="1" applyProtection="1"/>
    <xf numFmtId="11" fontId="0" fillId="0" borderId="7" xfId="0" applyNumberFormat="1" applyBorder="1" applyProtection="1"/>
    <xf numFmtId="166" fontId="0" fillId="0" borderId="7" xfId="0" applyNumberFormat="1" applyFill="1" applyBorder="1" applyProtection="1"/>
    <xf numFmtId="165" fontId="0" fillId="0" borderId="7" xfId="0" applyNumberFormat="1" applyFill="1" applyBorder="1" applyProtection="1"/>
    <xf numFmtId="166" fontId="0" fillId="0" borderId="7" xfId="0" applyNumberFormat="1" applyBorder="1" applyProtection="1"/>
    <xf numFmtId="2" fontId="0" fillId="0" borderId="7" xfId="0" applyNumberFormat="1" applyFill="1" applyBorder="1" applyProtection="1"/>
    <xf numFmtId="2" fontId="0" fillId="0" borderId="7" xfId="0" applyNumberFormat="1" applyBorder="1" applyProtection="1"/>
    <xf numFmtId="0" fontId="0" fillId="0" borderId="7" xfId="0" applyFill="1" applyBorder="1" applyAlignment="1">
      <alignment wrapText="1"/>
    </xf>
    <xf numFmtId="2" fontId="0" fillId="0" borderId="7" xfId="0" applyNumberFormat="1" applyBorder="1"/>
    <xf numFmtId="9" fontId="0" fillId="0" borderId="7" xfId="1" applyFont="1" applyBorder="1"/>
    <xf numFmtId="0" fontId="0" fillId="0" borderId="0" xfId="0" applyBorder="1"/>
    <xf numFmtId="0" fontId="0" fillId="0" borderId="0" xfId="0" applyFill="1"/>
    <xf numFmtId="9" fontId="0" fillId="0" borderId="7" xfId="0" applyNumberFormat="1" applyBorder="1"/>
    <xf numFmtId="165" fontId="0" fillId="0" borderId="7" xfId="0" applyNumberFormat="1" applyBorder="1"/>
    <xf numFmtId="0" fontId="0" fillId="0" borderId="0" xfId="0" applyAlignment="1"/>
    <xf numFmtId="0" fontId="0" fillId="0" borderId="8" xfId="0" applyBorder="1" applyProtection="1">
      <protection locked="0"/>
    </xf>
    <xf numFmtId="0" fontId="0" fillId="0" borderId="7" xfId="0" applyBorder="1" applyProtection="1">
      <protection locked="0"/>
    </xf>
    <xf numFmtId="0" fontId="0" fillId="0" borderId="9" xfId="0" applyBorder="1" applyProtection="1">
      <protection locked="0"/>
    </xf>
    <xf numFmtId="0" fontId="0" fillId="2" borderId="7" xfId="0" applyFill="1" applyBorder="1" applyAlignment="1" applyProtection="1">
      <alignment wrapText="1"/>
      <protection locked="0"/>
    </xf>
    <xf numFmtId="0" fontId="0" fillId="0" borderId="0" xfId="0" applyProtection="1">
      <protection locked="0"/>
    </xf>
    <xf numFmtId="0" fontId="0" fillId="0" borderId="0" xfId="0" applyAlignment="1" applyProtection="1">
      <protection locked="0"/>
    </xf>
    <xf numFmtId="0" fontId="0" fillId="0" borderId="7" xfId="0" applyBorder="1" applyAlignment="1" applyProtection="1">
      <alignment wrapText="1"/>
      <protection locked="0"/>
    </xf>
    <xf numFmtId="1" fontId="0" fillId="0" borderId="0" xfId="0" applyNumberFormat="1" applyProtection="1">
      <protection locked="0"/>
    </xf>
    <xf numFmtId="0" fontId="0" fillId="0" borderId="0" xfId="0" applyAlignment="1" applyProtection="1">
      <alignment horizontal="right"/>
      <protection locked="0"/>
    </xf>
    <xf numFmtId="11" fontId="0" fillId="0" borderId="0" xfId="0" applyNumberFormat="1" applyProtection="1">
      <protection locked="0"/>
    </xf>
    <xf numFmtId="0" fontId="0" fillId="0" borderId="0" xfId="0" applyAlignment="1" applyProtection="1">
      <alignment wrapText="1"/>
      <protection locked="0"/>
    </xf>
    <xf numFmtId="0" fontId="0" fillId="0" borderId="0" xfId="0" applyNumberFormat="1" applyProtection="1">
      <protection locked="0"/>
    </xf>
    <xf numFmtId="2" fontId="0" fillId="0" borderId="0" xfId="0" applyNumberFormat="1" applyProtection="1">
      <protection locked="0"/>
    </xf>
    <xf numFmtId="165" fontId="0" fillId="0" borderId="0" xfId="0" applyNumberFormat="1" applyProtection="1">
      <protection locked="0"/>
    </xf>
    <xf numFmtId="0" fontId="0" fillId="0" borderId="0" xfId="0" applyFill="1" applyProtection="1">
      <protection locked="0"/>
    </xf>
    <xf numFmtId="11" fontId="0" fillId="0" borderId="0" xfId="0" applyNumberFormat="1" applyFill="1" applyProtection="1">
      <protection locked="0"/>
    </xf>
    <xf numFmtId="11" fontId="0" fillId="0" borderId="13" xfId="0" applyNumberFormat="1" applyFill="1" applyBorder="1" applyProtection="1">
      <protection locked="0"/>
    </xf>
    <xf numFmtId="11" fontId="0" fillId="0" borderId="14" xfId="0" applyNumberFormat="1" applyFill="1" applyBorder="1" applyProtection="1">
      <protection locked="0"/>
    </xf>
    <xf numFmtId="0" fontId="0" fillId="2" borderId="7" xfId="0" applyNumberFormat="1" applyFill="1" applyBorder="1" applyAlignment="1" applyProtection="1">
      <alignment wrapText="1"/>
      <protection locked="0"/>
    </xf>
    <xf numFmtId="0" fontId="0" fillId="3" borderId="7" xfId="0" applyFill="1" applyBorder="1" applyProtection="1">
      <protection locked="0"/>
    </xf>
    <xf numFmtId="10" fontId="0" fillId="3" borderId="7" xfId="1" applyNumberFormat="1" applyFont="1" applyFill="1" applyBorder="1" applyProtection="1">
      <protection locked="0"/>
    </xf>
    <xf numFmtId="0" fontId="0" fillId="3" borderId="7" xfId="0" applyFill="1" applyBorder="1" applyAlignment="1" applyProtection="1">
      <alignment wrapText="1"/>
      <protection locked="0"/>
    </xf>
    <xf numFmtId="166" fontId="0" fillId="3" borderId="7" xfId="0" applyNumberFormat="1" applyFill="1" applyBorder="1" applyProtection="1">
      <protection locked="0"/>
    </xf>
    <xf numFmtId="0" fontId="0" fillId="0" borderId="0" xfId="0" applyAlignment="1">
      <alignment horizontal="center"/>
    </xf>
    <xf numFmtId="0" fontId="12" fillId="0" borderId="0" xfId="0" applyFont="1" applyAlignment="1">
      <alignment vertical="center"/>
    </xf>
    <xf numFmtId="0" fontId="0" fillId="0" borderId="0" xfId="0" applyAlignment="1">
      <alignment horizontal="center" wrapText="1"/>
    </xf>
    <xf numFmtId="0" fontId="0" fillId="0" borderId="7" xfId="0" applyFill="1" applyBorder="1" applyAlignment="1" applyProtection="1">
      <alignment wrapText="1"/>
      <protection locked="0"/>
    </xf>
    <xf numFmtId="165" fontId="0" fillId="0" borderId="7" xfId="0" applyNumberFormat="1" applyFill="1" applyBorder="1" applyProtection="1">
      <protection locked="0"/>
    </xf>
    <xf numFmtId="49" fontId="0" fillId="0" borderId="0" xfId="0" applyNumberFormat="1"/>
    <xf numFmtId="0" fontId="1" fillId="0" borderId="0" xfId="0" applyFont="1" applyBorder="1" applyAlignment="1">
      <alignment vertical="center" wrapText="1"/>
    </xf>
    <xf numFmtId="0" fontId="0" fillId="0" borderId="0" xfId="0" applyBorder="1" applyAlignment="1">
      <alignment vertical="center" wrapText="1"/>
    </xf>
    <xf numFmtId="9" fontId="0" fillId="0" borderId="0" xfId="1" applyFont="1"/>
    <xf numFmtId="10" fontId="0" fillId="0" borderId="0" xfId="0" applyNumberFormat="1" applyFill="1" applyBorder="1" applyProtection="1"/>
    <xf numFmtId="2" fontId="0" fillId="0" borderId="0" xfId="0" applyNumberFormat="1" applyBorder="1" applyProtection="1"/>
    <xf numFmtId="166" fontId="0" fillId="0" borderId="0" xfId="0" applyNumberFormat="1" applyBorder="1" applyProtection="1"/>
    <xf numFmtId="166" fontId="0" fillId="2" borderId="7" xfId="0" applyNumberFormat="1" applyFill="1" applyBorder="1" applyProtection="1">
      <protection locked="0"/>
    </xf>
    <xf numFmtId="2" fontId="0" fillId="2" borderId="7" xfId="0" applyNumberFormat="1" applyFill="1" applyBorder="1" applyProtection="1">
      <protection locked="0"/>
    </xf>
    <xf numFmtId="167" fontId="0" fillId="0" borderId="0" xfId="0" applyNumberFormat="1"/>
    <xf numFmtId="0" fontId="0" fillId="0" borderId="0" xfId="0" applyAlignment="1">
      <alignment horizontal="left" wrapText="1"/>
    </xf>
    <xf numFmtId="9" fontId="0" fillId="0" borderId="0" xfId="1" applyNumberFormat="1" applyFont="1"/>
    <xf numFmtId="9" fontId="0" fillId="0" borderId="7" xfId="0" applyNumberFormat="1" applyFill="1" applyBorder="1" applyProtection="1"/>
    <xf numFmtId="0" fontId="0" fillId="0" borderId="0" xfId="0" applyAlignment="1">
      <alignment horizontal="center"/>
    </xf>
    <xf numFmtId="0" fontId="0" fillId="0" borderId="0" xfId="0" applyAlignment="1">
      <alignment horizontal="center" wrapText="1"/>
    </xf>
    <xf numFmtId="0" fontId="0" fillId="0" borderId="0" xfId="0" applyAlignment="1">
      <alignment horizontal="center"/>
    </xf>
    <xf numFmtId="0" fontId="0" fillId="0" borderId="10" xfId="0" applyBorder="1" applyAlignment="1">
      <alignment vertical="center" wrapText="1"/>
    </xf>
    <xf numFmtId="0" fontId="0" fillId="0" borderId="3" xfId="0" applyBorder="1" applyAlignment="1">
      <alignment vertical="center" wrapText="1"/>
    </xf>
    <xf numFmtId="0" fontId="0" fillId="0" borderId="14" xfId="0" applyBorder="1" applyAlignment="1">
      <alignment vertical="center" wrapText="1"/>
    </xf>
    <xf numFmtId="0" fontId="0" fillId="0" borderId="15" xfId="0" applyBorder="1" applyAlignment="1">
      <alignment vertical="center" wrapText="1"/>
    </xf>
    <xf numFmtId="0" fontId="0" fillId="0" borderId="0" xfId="0" applyFill="1" applyBorder="1" applyAlignment="1" applyProtection="1">
      <alignment wrapText="1"/>
    </xf>
    <xf numFmtId="0" fontId="0" fillId="0" borderId="0" xfId="0" applyFill="1" applyAlignment="1" applyProtection="1">
      <alignment wrapText="1"/>
      <protection locked="0"/>
    </xf>
    <xf numFmtId="2" fontId="0" fillId="0" borderId="7" xfId="0" applyNumberFormat="1" applyFill="1" applyBorder="1" applyProtection="1">
      <protection locked="0"/>
    </xf>
    <xf numFmtId="0" fontId="0" fillId="0" borderId="18" xfId="0" applyBorder="1"/>
    <xf numFmtId="0" fontId="0" fillId="0" borderId="20" xfId="0" applyBorder="1" applyProtection="1"/>
    <xf numFmtId="0" fontId="0" fillId="0" borderId="21" xfId="0" applyBorder="1" applyProtection="1"/>
    <xf numFmtId="11" fontId="0" fillId="0" borderId="17" xfId="0" applyNumberFormat="1" applyBorder="1" applyProtection="1"/>
    <xf numFmtId="0" fontId="0" fillId="0" borderId="22" xfId="0" applyBorder="1" applyProtection="1"/>
    <xf numFmtId="11" fontId="0" fillId="0" borderId="15" xfId="0" applyNumberFormat="1" applyBorder="1" applyProtection="1"/>
    <xf numFmtId="0" fontId="0" fillId="0" borderId="21" xfId="0" applyBorder="1" applyProtection="1">
      <protection locked="0"/>
    </xf>
    <xf numFmtId="0" fontId="0" fillId="0" borderId="18" xfId="0" applyFill="1" applyBorder="1"/>
    <xf numFmtId="0" fontId="0" fillId="0" borderId="20" xfId="0" applyFill="1" applyBorder="1"/>
    <xf numFmtId="0" fontId="0" fillId="0" borderId="17" xfId="0" applyBorder="1" applyAlignment="1"/>
    <xf numFmtId="0" fontId="0" fillId="0" borderId="17" xfId="0" applyBorder="1"/>
    <xf numFmtId="0" fontId="0" fillId="0" borderId="22" xfId="0" applyBorder="1" applyProtection="1">
      <protection locked="0"/>
    </xf>
    <xf numFmtId="0" fontId="0" fillId="0" borderId="15" xfId="0" applyBorder="1"/>
    <xf numFmtId="0" fontId="0" fillId="0" borderId="19" xfId="0" applyBorder="1"/>
    <xf numFmtId="0" fontId="0" fillId="0" borderId="20" xfId="0" applyBorder="1"/>
    <xf numFmtId="0" fontId="0" fillId="0" borderId="21" xfId="0" applyBorder="1"/>
    <xf numFmtId="1" fontId="0" fillId="0" borderId="0" xfId="0" applyNumberFormat="1" applyBorder="1"/>
    <xf numFmtId="0" fontId="0" fillId="0" borderId="22" xfId="0" applyBorder="1"/>
    <xf numFmtId="1" fontId="0" fillId="0" borderId="16" xfId="0" applyNumberFormat="1" applyBorder="1"/>
    <xf numFmtId="0" fontId="0" fillId="0" borderId="23" xfId="0" applyBorder="1"/>
    <xf numFmtId="0" fontId="0" fillId="0" borderId="24" xfId="0" applyBorder="1"/>
    <xf numFmtId="9" fontId="0" fillId="0" borderId="25" xfId="0" applyNumberFormat="1" applyBorder="1"/>
    <xf numFmtId="165" fontId="0" fillId="0" borderId="26" xfId="0" applyNumberFormat="1" applyBorder="1"/>
    <xf numFmtId="9" fontId="0" fillId="0" borderId="27" xfId="0" applyNumberFormat="1" applyBorder="1"/>
    <xf numFmtId="165" fontId="0" fillId="0" borderId="28" xfId="0" applyNumberFormat="1" applyBorder="1"/>
    <xf numFmtId="164" fontId="0" fillId="0" borderId="7" xfId="0" applyNumberFormat="1" applyBorder="1"/>
    <xf numFmtId="0" fontId="0" fillId="0" borderId="12" xfId="0" applyBorder="1"/>
    <xf numFmtId="0" fontId="0" fillId="0" borderId="13" xfId="0" applyBorder="1"/>
    <xf numFmtId="0" fontId="0" fillId="0" borderId="14" xfId="0" applyBorder="1"/>
    <xf numFmtId="0" fontId="0" fillId="0" borderId="0" xfId="0" applyAlignment="1" applyProtection="1"/>
    <xf numFmtId="165" fontId="0" fillId="0" borderId="0" xfId="1" applyNumberFormat="1" applyFont="1"/>
    <xf numFmtId="0" fontId="0" fillId="2" borderId="7" xfId="0" applyFill="1" applyBorder="1" applyAlignment="1" applyProtection="1">
      <alignment horizontal="center"/>
      <protection locked="0"/>
    </xf>
    <xf numFmtId="0" fontId="1" fillId="0" borderId="1" xfId="0"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1" fillId="0" borderId="3" xfId="0" applyFont="1" applyBorder="1" applyAlignment="1">
      <alignment horizontal="center"/>
    </xf>
    <xf numFmtId="0" fontId="0" fillId="2" borderId="7" xfId="0" applyFill="1" applyBorder="1" applyAlignment="1" applyProtection="1">
      <alignment horizontal="center" wrapText="1"/>
      <protection locked="0"/>
    </xf>
    <xf numFmtId="0" fontId="0" fillId="0" borderId="0" xfId="0" applyAlignment="1">
      <alignment horizontal="left" vertical="center" wrapText="1"/>
    </xf>
    <xf numFmtId="0" fontId="0" fillId="0" borderId="0" xfId="0" applyAlignment="1">
      <alignment horizontal="left" vertical="center"/>
    </xf>
    <xf numFmtId="0" fontId="0" fillId="0" borderId="0" xfId="0" applyFill="1" applyAlignment="1" applyProtection="1">
      <alignment horizontal="center" wrapText="1"/>
      <protection locked="0"/>
    </xf>
    <xf numFmtId="0" fontId="0" fillId="0" borderId="0" xfId="0" applyAlignment="1" applyProtection="1">
      <alignment horizontal="center"/>
      <protection locked="0"/>
    </xf>
    <xf numFmtId="0" fontId="0" fillId="0" borderId="0" xfId="0" applyAlignment="1" applyProtection="1">
      <alignment horizontal="center"/>
    </xf>
    <xf numFmtId="0" fontId="0" fillId="0" borderId="0" xfId="0" applyAlignment="1" applyProtection="1">
      <alignment horizontal="center" wrapText="1"/>
      <protection locked="0"/>
    </xf>
    <xf numFmtId="0" fontId="0" fillId="0" borderId="0" xfId="0" applyAlignment="1">
      <alignment horizontal="center"/>
    </xf>
    <xf numFmtId="0" fontId="1" fillId="0" borderId="0" xfId="0" applyFont="1" applyAlignment="1">
      <alignment horizontal="center" wrapText="1"/>
    </xf>
    <xf numFmtId="0" fontId="0" fillId="0" borderId="0" xfId="0" applyAlignment="1">
      <alignment horizontal="center" wrapText="1"/>
    </xf>
    <xf numFmtId="0" fontId="0" fillId="0" borderId="0" xfId="0" applyFill="1" applyAlignment="1">
      <alignment horizontal="center" wrapText="1"/>
    </xf>
    <xf numFmtId="0" fontId="0" fillId="0" borderId="16" xfId="0" applyBorder="1" applyAlignment="1">
      <alignment horizontal="center"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1" fillId="0" borderId="0" xfId="0" applyFont="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D50 versus Efficiency Factor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1"/>
          <c:order val="0"/>
          <c:spPr>
            <a:ln w="19050" cap="rnd">
              <a:solidFill>
                <a:schemeClr val="accent2"/>
              </a:solidFill>
              <a:round/>
            </a:ln>
            <a:effectLst/>
          </c:spPr>
          <c:marker>
            <c:symbol val="none"/>
          </c:marker>
          <c:xVal>
            <c:numRef>
              <c:f>'Detention Pond'!$BF$19:$BF$30</c:f>
              <c:numCache>
                <c:formatCode>0.00E+00</c:formatCode>
                <c:ptCount val="12"/>
                <c:pt idx="1">
                  <c:v>7.8740199999999992E-6</c:v>
                </c:pt>
                <c:pt idx="2">
                  <c:v>8.8582724999999993E-6</c:v>
                </c:pt>
                <c:pt idx="3">
                  <c:v>2.6246733333333331E-5</c:v>
                </c:pt>
                <c:pt idx="4">
                  <c:v>2.9527574999999997E-5</c:v>
                </c:pt>
                <c:pt idx="5">
                  <c:v>6.8897675000000001E-5</c:v>
                </c:pt>
                <c:pt idx="6">
                  <c:v>1.4107619166666666E-4</c:v>
                </c:pt>
                <c:pt idx="7">
                  <c:v>6.5616833333333343E-4</c:v>
                </c:pt>
                <c:pt idx="8">
                  <c:v>6.5616833333333343E-4</c:v>
                </c:pt>
                <c:pt idx="9">
                  <c:v>8.5301883333333331E-4</c:v>
                </c:pt>
                <c:pt idx="10">
                  <c:v>9.5144408333333326E-4</c:v>
                </c:pt>
                <c:pt idx="11">
                  <c:v>1.181103E-3</c:v>
                </c:pt>
              </c:numCache>
            </c:numRef>
          </c:xVal>
          <c:yVal>
            <c:numRef>
              <c:f>'Detention Pond'!$BH$19:$BH$30</c:f>
              <c:numCache>
                <c:formatCode>0.00E+00</c:formatCode>
                <c:ptCount val="12"/>
                <c:pt idx="1">
                  <c:v>0.50004196437225612</c:v>
                </c:pt>
                <c:pt idx="2">
                  <c:v>0.50006358491878811</c:v>
                </c:pt>
                <c:pt idx="3">
                  <c:v>0.50044554790752027</c:v>
                </c:pt>
                <c:pt idx="4">
                  <c:v>0.50051761639596037</c:v>
                </c:pt>
                <c:pt idx="5">
                  <c:v>0.50154090427591469</c:v>
                </c:pt>
                <c:pt idx="6">
                  <c:v>0.50659486748560301</c:v>
                </c:pt>
                <c:pt idx="7">
                  <c:v>0.58100746699905037</c:v>
                </c:pt>
                <c:pt idx="8">
                  <c:v>0.58100746699905037</c:v>
                </c:pt>
                <c:pt idx="9">
                  <c:v>0.62</c:v>
                </c:pt>
                <c:pt idx="10">
                  <c:v>0.68</c:v>
                </c:pt>
                <c:pt idx="11">
                  <c:v>0.98</c:v>
                </c:pt>
              </c:numCache>
            </c:numRef>
          </c:yVal>
          <c:smooth val="1"/>
        </c:ser>
        <c:ser>
          <c:idx val="0"/>
          <c:order val="1"/>
          <c:spPr>
            <a:ln w="19050" cap="rnd">
              <a:solidFill>
                <a:schemeClr val="accent1"/>
              </a:solidFill>
              <a:round/>
            </a:ln>
            <a:effectLst/>
          </c:spPr>
          <c:marker>
            <c:symbol val="none"/>
          </c:marker>
          <c:trendline>
            <c:spPr>
              <a:ln w="19050" cap="rnd">
                <a:solidFill>
                  <a:schemeClr val="accent1">
                    <a:alpha val="0"/>
                  </a:schemeClr>
                </a:solidFill>
                <a:prstDash val="sysDot"/>
              </a:ln>
              <a:effectLst/>
            </c:spPr>
            <c:trendlineType val="poly"/>
            <c:order val="6"/>
            <c:dispRSqr val="0"/>
            <c:dispEq val="0"/>
          </c:trendline>
          <c:xVal>
            <c:numRef>
              <c:f>'Detention Pond'!$BF$19:$BF$30</c:f>
              <c:numCache>
                <c:formatCode>0.00E+00</c:formatCode>
                <c:ptCount val="12"/>
                <c:pt idx="1">
                  <c:v>7.8740199999999992E-6</c:v>
                </c:pt>
                <c:pt idx="2">
                  <c:v>8.8582724999999993E-6</c:v>
                </c:pt>
                <c:pt idx="3">
                  <c:v>2.6246733333333331E-5</c:v>
                </c:pt>
                <c:pt idx="4">
                  <c:v>2.9527574999999997E-5</c:v>
                </c:pt>
                <c:pt idx="5">
                  <c:v>6.8897675000000001E-5</c:v>
                </c:pt>
                <c:pt idx="6">
                  <c:v>1.4107619166666666E-4</c:v>
                </c:pt>
                <c:pt idx="7">
                  <c:v>6.5616833333333343E-4</c:v>
                </c:pt>
                <c:pt idx="8">
                  <c:v>6.5616833333333343E-4</c:v>
                </c:pt>
                <c:pt idx="9">
                  <c:v>8.5301883333333331E-4</c:v>
                </c:pt>
                <c:pt idx="10">
                  <c:v>9.5144408333333326E-4</c:v>
                </c:pt>
                <c:pt idx="11">
                  <c:v>1.181103E-3</c:v>
                </c:pt>
              </c:numCache>
            </c:numRef>
          </c:xVal>
          <c:yVal>
            <c:numRef>
              <c:f>'Detention Pond'!$BH$19:$BH$30</c:f>
              <c:numCache>
                <c:formatCode>0.00E+00</c:formatCode>
                <c:ptCount val="12"/>
                <c:pt idx="1">
                  <c:v>0.50004196437225612</c:v>
                </c:pt>
                <c:pt idx="2">
                  <c:v>0.50006358491878811</c:v>
                </c:pt>
                <c:pt idx="3">
                  <c:v>0.50044554790752027</c:v>
                </c:pt>
                <c:pt idx="4">
                  <c:v>0.50051761639596037</c:v>
                </c:pt>
                <c:pt idx="5">
                  <c:v>0.50154090427591469</c:v>
                </c:pt>
                <c:pt idx="6">
                  <c:v>0.50659486748560301</c:v>
                </c:pt>
                <c:pt idx="7">
                  <c:v>0.58100746699905037</c:v>
                </c:pt>
                <c:pt idx="8">
                  <c:v>0.58100746699905037</c:v>
                </c:pt>
                <c:pt idx="9">
                  <c:v>0.62</c:v>
                </c:pt>
                <c:pt idx="10">
                  <c:v>0.68</c:v>
                </c:pt>
                <c:pt idx="11">
                  <c:v>0.98</c:v>
                </c:pt>
              </c:numCache>
            </c:numRef>
          </c:yVal>
          <c:smooth val="1"/>
        </c:ser>
        <c:dLbls>
          <c:showLegendKey val="0"/>
          <c:showVal val="0"/>
          <c:showCatName val="0"/>
          <c:showSerName val="0"/>
          <c:showPercent val="0"/>
          <c:showBubbleSize val="0"/>
        </c:dLbls>
        <c:axId val="325384400"/>
        <c:axId val="325397088"/>
      </c:scatterChart>
      <c:valAx>
        <c:axId val="3253844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D50 (ft)</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5397088"/>
        <c:crosses val="autoZero"/>
        <c:crossBetween val="midCat"/>
      </c:valAx>
      <c:valAx>
        <c:axId val="325397088"/>
        <c:scaling>
          <c:orientation val="minMax"/>
          <c:max val="1"/>
          <c:min val="0.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Efficiency</a:t>
                </a:r>
                <a:r>
                  <a:rPr lang="en-US" baseline="0"/>
                  <a:t> Factor (e</a:t>
                </a:r>
                <a:r>
                  <a:rPr lang="en-US" sz="500" baseline="0"/>
                  <a:t>D50</a:t>
                </a:r>
                <a:r>
                  <a:rPr lang="en-US" sz="1000" baseline="0"/>
                  <a:t>)</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5384400"/>
        <c:crosses val="autoZero"/>
        <c:crossBetween val="midCat"/>
        <c:majorUnit val="0.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V:A</a:t>
            </a:r>
            <a:r>
              <a:rPr lang="en-US" baseline="0"/>
              <a:t> Ratio versus Efficiency Factor</a:t>
            </a:r>
            <a:endParaRPr lang="en-US"/>
          </a:p>
        </c:rich>
      </c:tx>
      <c:layout>
        <c:manualLayout>
          <c:xMode val="edge"/>
          <c:yMode val="edge"/>
          <c:x val="0.27580182479906989"/>
          <c:y val="2.33980330913284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0455914405551087"/>
          <c:y val="0.14460038986354778"/>
          <c:w val="0.85714060775496848"/>
          <c:h val="0.68228730180657238"/>
        </c:manualLayout>
      </c:layout>
      <c:scatterChart>
        <c:scatterStyle val="smoothMarker"/>
        <c:varyColors val="0"/>
        <c:ser>
          <c:idx val="0"/>
          <c:order val="0"/>
          <c:spPr>
            <a:ln w="19050" cap="rnd">
              <a:solidFill>
                <a:schemeClr val="accent1"/>
              </a:solidFill>
              <a:round/>
            </a:ln>
            <a:effectLst/>
          </c:spPr>
          <c:marker>
            <c:symbol val="none"/>
          </c:marker>
          <c:trendline>
            <c:spPr>
              <a:ln w="19050" cap="rnd">
                <a:solidFill>
                  <a:schemeClr val="accent1">
                    <a:alpha val="0"/>
                  </a:schemeClr>
                </a:solidFill>
                <a:prstDash val="sysDot"/>
              </a:ln>
              <a:effectLst/>
            </c:spPr>
            <c:trendlineType val="log"/>
            <c:dispRSqr val="0"/>
            <c:dispEq val="1"/>
            <c:trendlineLbl>
              <c:layout>
                <c:manualLayout>
                  <c:x val="5.1021859869062339E-2"/>
                  <c:y val="-0.18653527958128041"/>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trendline>
            <c:spPr>
              <a:ln w="19050" cap="rnd">
                <a:solidFill>
                  <a:schemeClr val="accent1">
                    <a:alpha val="0"/>
                  </a:schemeClr>
                </a:solidFill>
                <a:prstDash val="sysDot"/>
              </a:ln>
              <a:effectLst/>
            </c:spPr>
            <c:trendlineType val="linear"/>
            <c:dispRSqr val="0"/>
            <c:dispEq val="0"/>
          </c:trendline>
          <c:xVal>
            <c:numRef>
              <c:f>'Detention Pond'!$B$14:$B$27</c:f>
              <c:numCache>
                <c:formatCode>General</c:formatCode>
                <c:ptCount val="14"/>
                <c:pt idx="0">
                  <c:v>1E-4</c:v>
                </c:pt>
                <c:pt idx="1">
                  <c:v>1E-3</c:v>
                </c:pt>
                <c:pt idx="2">
                  <c:v>1E-3</c:v>
                </c:pt>
                <c:pt idx="3">
                  <c:v>0.01</c:v>
                </c:pt>
                <c:pt idx="4">
                  <c:v>0.1</c:v>
                </c:pt>
                <c:pt idx="5">
                  <c:v>0.2</c:v>
                </c:pt>
                <c:pt idx="6">
                  <c:v>0.3</c:v>
                </c:pt>
                <c:pt idx="7">
                  <c:v>0.4</c:v>
                </c:pt>
                <c:pt idx="8">
                  <c:v>0.5</c:v>
                </c:pt>
                <c:pt idx="9">
                  <c:v>0.6</c:v>
                </c:pt>
                <c:pt idx="10">
                  <c:v>0.7</c:v>
                </c:pt>
                <c:pt idx="11">
                  <c:v>0.8</c:v>
                </c:pt>
                <c:pt idx="12">
                  <c:v>0.9</c:v>
                </c:pt>
                <c:pt idx="13">
                  <c:v>1</c:v>
                </c:pt>
              </c:numCache>
            </c:numRef>
          </c:xVal>
          <c:yVal>
            <c:numRef>
              <c:f>'Detention Pond'!$C$14:$C$27</c:f>
              <c:numCache>
                <c:formatCode>General</c:formatCode>
                <c:ptCount val="14"/>
                <c:pt idx="0">
                  <c:v>1E-4</c:v>
                </c:pt>
                <c:pt idx="1">
                  <c:v>0.2092244721017863</c:v>
                </c:pt>
                <c:pt idx="2">
                  <c:v>0.2092244721017863</c:v>
                </c:pt>
                <c:pt idx="3">
                  <c:v>0.43948298140119091</c:v>
                </c:pt>
                <c:pt idx="4">
                  <c:v>0.66974149070059541</c:v>
                </c:pt>
                <c:pt idx="5">
                  <c:v>0.73905620875658995</c:v>
                </c:pt>
                <c:pt idx="6">
                  <c:v>0.77960271956740645</c:v>
                </c:pt>
                <c:pt idx="7">
                  <c:v>0.80837092681258449</c:v>
                </c:pt>
                <c:pt idx="8">
                  <c:v>0.83068528194400548</c:v>
                </c:pt>
                <c:pt idx="9">
                  <c:v>0.84891743762340099</c:v>
                </c:pt>
                <c:pt idx="10">
                  <c:v>0.86433250560612673</c:v>
                </c:pt>
                <c:pt idx="11">
                  <c:v>0.87768564486857903</c:v>
                </c:pt>
                <c:pt idx="12">
                  <c:v>0.88946394843421739</c:v>
                </c:pt>
                <c:pt idx="13">
                  <c:v>0.9</c:v>
                </c:pt>
              </c:numCache>
            </c:numRef>
          </c:yVal>
          <c:smooth val="1"/>
        </c:ser>
        <c:dLbls>
          <c:showLegendKey val="0"/>
          <c:showVal val="0"/>
          <c:showCatName val="0"/>
          <c:showSerName val="0"/>
          <c:showPercent val="0"/>
          <c:showBubbleSize val="0"/>
        </c:dLbls>
        <c:axId val="325420992"/>
        <c:axId val="325421376"/>
      </c:scatterChart>
      <c:valAx>
        <c:axId val="325420992"/>
        <c:scaling>
          <c:logBase val="10"/>
          <c:orientation val="minMax"/>
        </c:scaling>
        <c:delete val="0"/>
        <c:axPos val="b"/>
        <c:majorGridlines>
          <c:spPr>
            <a:ln w="9525" cap="flat" cmpd="sng" algn="ctr">
              <a:solidFill>
                <a:schemeClr val="tx1">
                  <a:lumMod val="15000"/>
                  <a:lumOff val="85000"/>
                </a:schemeClr>
              </a:solidFill>
              <a:round/>
            </a:ln>
            <a:effectLst/>
          </c:spPr>
        </c:majorGridlines>
        <c:minorGridlines>
          <c:spPr>
            <a:ln w="9525" cap="flat" cmpd="sng" algn="ctr">
              <a:solidFill>
                <a:schemeClr val="bg1">
                  <a:lumMod val="85000"/>
                </a:schemeClr>
              </a:solidFill>
              <a:round/>
            </a:ln>
            <a:effectLst/>
          </c:spPr>
        </c:min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V:A Ratio (Ac.-ft/Ac.)</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5421376"/>
        <c:crosses val="autoZero"/>
        <c:crossBetween val="midCat"/>
      </c:valAx>
      <c:valAx>
        <c:axId val="325421376"/>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Efficiency Factor (e</a:t>
                </a:r>
                <a:r>
                  <a:rPr lang="en-US" sz="500"/>
                  <a:t>VA</a:t>
                </a:r>
                <a:r>
                  <a:rPr lang="en-US" sz="1000"/>
                  <a:t>)</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542099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V:A Ratio vs. Efficiency Factor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spPr>
            <a:ln w="19050" cap="rnd">
              <a:solidFill>
                <a:schemeClr val="accent1"/>
              </a:solidFill>
              <a:round/>
            </a:ln>
            <a:effectLst/>
          </c:spPr>
          <c:marker>
            <c:symbol val="none"/>
          </c:marker>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0"/>
          </c:trendline>
          <c:trendline>
            <c:spPr>
              <a:ln w="19050" cap="rnd">
                <a:solidFill>
                  <a:schemeClr val="accent1">
                    <a:alpha val="0"/>
                  </a:schemeClr>
                </a:solidFill>
                <a:prstDash val="sysDot"/>
              </a:ln>
              <a:effectLst/>
            </c:spPr>
            <c:trendlineType val="linear"/>
            <c:dispRSqr val="0"/>
            <c:dispEq val="1"/>
            <c:trendlineLbl>
              <c:layout>
                <c:manualLayout>
                  <c:x val="1.6863072008631751E-2"/>
                  <c:y val="-0.1084679715350509"/>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'Infiltration Trench'!$AK$2:$AK$15</c:f>
              <c:numCache>
                <c:formatCode>General</c:formatCode>
                <c:ptCount val="14"/>
                <c:pt idx="0">
                  <c:v>1E-4</c:v>
                </c:pt>
                <c:pt idx="1">
                  <c:v>1E-3</c:v>
                </c:pt>
                <c:pt idx="2">
                  <c:v>1E-3</c:v>
                </c:pt>
                <c:pt idx="3">
                  <c:v>0.01</c:v>
                </c:pt>
                <c:pt idx="4">
                  <c:v>0.1</c:v>
                </c:pt>
                <c:pt idx="5">
                  <c:v>0.2</c:v>
                </c:pt>
                <c:pt idx="6">
                  <c:v>0.3</c:v>
                </c:pt>
                <c:pt idx="7">
                  <c:v>0.4</c:v>
                </c:pt>
                <c:pt idx="8">
                  <c:v>0.5</c:v>
                </c:pt>
                <c:pt idx="9">
                  <c:v>0.6</c:v>
                </c:pt>
                <c:pt idx="10">
                  <c:v>0.7</c:v>
                </c:pt>
                <c:pt idx="11">
                  <c:v>0.8</c:v>
                </c:pt>
                <c:pt idx="12">
                  <c:v>0.9</c:v>
                </c:pt>
                <c:pt idx="13">
                  <c:v>1</c:v>
                </c:pt>
              </c:numCache>
            </c:numRef>
          </c:xVal>
          <c:yVal>
            <c:numRef>
              <c:f>'Infiltration Trench'!$AL$2:$AL$15</c:f>
              <c:numCache>
                <c:formatCode>0.000</c:formatCode>
                <c:ptCount val="14"/>
                <c:pt idx="0">
                  <c:v>0.49624105999999996</c:v>
                </c:pt>
                <c:pt idx="1">
                  <c:v>0.49661059999999996</c:v>
                </c:pt>
                <c:pt idx="2">
                  <c:v>0.49661059999999996</c:v>
                </c:pt>
                <c:pt idx="3">
                  <c:v>0.50030600000000003</c:v>
                </c:pt>
                <c:pt idx="4">
                  <c:v>0.53725999999999996</c:v>
                </c:pt>
                <c:pt idx="5">
                  <c:v>0.57831999999999995</c:v>
                </c:pt>
                <c:pt idx="6">
                  <c:v>0.61937999999999993</c:v>
                </c:pt>
                <c:pt idx="7">
                  <c:v>0.66044000000000003</c:v>
                </c:pt>
                <c:pt idx="8">
                  <c:v>0.70150000000000001</c:v>
                </c:pt>
                <c:pt idx="9">
                  <c:v>0.74256</c:v>
                </c:pt>
                <c:pt idx="10">
                  <c:v>0.78361999999999998</c:v>
                </c:pt>
                <c:pt idx="11">
                  <c:v>0.82468000000000008</c:v>
                </c:pt>
                <c:pt idx="12">
                  <c:v>0.86573999999999995</c:v>
                </c:pt>
                <c:pt idx="13">
                  <c:v>0.90680000000000005</c:v>
                </c:pt>
              </c:numCache>
            </c:numRef>
          </c:yVal>
          <c:smooth val="1"/>
        </c:ser>
        <c:dLbls>
          <c:showLegendKey val="0"/>
          <c:showVal val="0"/>
          <c:showCatName val="0"/>
          <c:showSerName val="0"/>
          <c:showPercent val="0"/>
          <c:showBubbleSize val="0"/>
        </c:dLbls>
        <c:axId val="18247544"/>
        <c:axId val="18247928"/>
      </c:scatterChart>
      <c:valAx>
        <c:axId val="18247544"/>
        <c:scaling>
          <c:orientation val="minMax"/>
          <c:max val="1"/>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V:A Ratio (Ac.-ft/Ac.)</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247928"/>
        <c:crosses val="autoZero"/>
        <c:crossBetween val="midCat"/>
      </c:valAx>
      <c:valAx>
        <c:axId val="18247928"/>
        <c:scaling>
          <c:orientation val="minMax"/>
          <c:min val="0.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Efficiency</a:t>
                </a:r>
                <a:r>
                  <a:rPr lang="en-US" baseline="0"/>
                  <a:t> Factor (e</a:t>
                </a:r>
                <a:r>
                  <a:rPr lang="en-US" sz="500" baseline="0"/>
                  <a:t>VA</a:t>
                </a:r>
                <a:r>
                  <a:rPr lang="en-US" sz="1000" baseline="0"/>
                  <a:t>)</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24754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V:A vs Efficiency Factor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spPr>
            <a:ln w="19050" cap="rnd">
              <a:solidFill>
                <a:schemeClr val="accent1"/>
              </a:solidFill>
              <a:round/>
            </a:ln>
            <a:effectLst/>
          </c:spPr>
          <c:marker>
            <c:symbol val="none"/>
          </c:marker>
          <c:trendline>
            <c:spPr>
              <a:ln w="19050" cap="rnd">
                <a:solidFill>
                  <a:schemeClr val="accent1">
                    <a:alpha val="0"/>
                  </a:schemeClr>
                </a:solidFill>
                <a:prstDash val="sysDot"/>
              </a:ln>
              <a:effectLst/>
            </c:spPr>
            <c:trendlineType val="log"/>
            <c:dispRSqr val="0"/>
            <c:dispEq val="1"/>
            <c:trendlineLbl>
              <c:layout>
                <c:manualLayout>
                  <c:x val="-6.426368387290134E-3"/>
                  <c:y val="-8.5277689019849542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'Grassed Swale Rock Check Dam'!$AL$2:$AL$14</c:f>
              <c:numCache>
                <c:formatCode>General</c:formatCode>
                <c:ptCount val="13"/>
                <c:pt idx="0">
                  <c:v>1E-4</c:v>
                </c:pt>
                <c:pt idx="1">
                  <c:v>1E-3</c:v>
                </c:pt>
                <c:pt idx="2">
                  <c:v>0.01</c:v>
                </c:pt>
                <c:pt idx="3">
                  <c:v>0.1</c:v>
                </c:pt>
                <c:pt idx="4">
                  <c:v>0.2</c:v>
                </c:pt>
                <c:pt idx="5">
                  <c:v>0.3</c:v>
                </c:pt>
                <c:pt idx="6">
                  <c:v>0.4</c:v>
                </c:pt>
                <c:pt idx="7">
                  <c:v>0.5</c:v>
                </c:pt>
                <c:pt idx="8">
                  <c:v>0.6</c:v>
                </c:pt>
                <c:pt idx="9">
                  <c:v>0.7</c:v>
                </c:pt>
                <c:pt idx="10">
                  <c:v>0.8</c:v>
                </c:pt>
                <c:pt idx="11">
                  <c:v>0.9</c:v>
                </c:pt>
                <c:pt idx="12">
                  <c:v>1</c:v>
                </c:pt>
              </c:numCache>
            </c:numRef>
          </c:xVal>
          <c:yVal>
            <c:numRef>
              <c:f>'Grassed Swale Rock Check Dam'!$AM$2:$AM$14</c:f>
              <c:numCache>
                <c:formatCode>General</c:formatCode>
                <c:ptCount val="13"/>
                <c:pt idx="0">
                  <c:v>0.14000000000000001</c:v>
                </c:pt>
                <c:pt idx="1">
                  <c:v>0.35</c:v>
                </c:pt>
                <c:pt idx="2">
                  <c:v>0.55000000000000004</c:v>
                </c:pt>
                <c:pt idx="3">
                  <c:v>0.75</c:v>
                </c:pt>
                <c:pt idx="4">
                  <c:v>0.8</c:v>
                </c:pt>
                <c:pt idx="5">
                  <c:v>0.84</c:v>
                </c:pt>
                <c:pt idx="6">
                  <c:v>0.87</c:v>
                </c:pt>
                <c:pt idx="7">
                  <c:v>0.89</c:v>
                </c:pt>
                <c:pt idx="8">
                  <c:v>0.9</c:v>
                </c:pt>
                <c:pt idx="9">
                  <c:v>0.91</c:v>
                </c:pt>
                <c:pt idx="10">
                  <c:v>0.93</c:v>
                </c:pt>
                <c:pt idx="11">
                  <c:v>0.94</c:v>
                </c:pt>
                <c:pt idx="12">
                  <c:v>0.95</c:v>
                </c:pt>
              </c:numCache>
            </c:numRef>
          </c:yVal>
          <c:smooth val="1"/>
        </c:ser>
        <c:dLbls>
          <c:showLegendKey val="0"/>
          <c:showVal val="0"/>
          <c:showCatName val="0"/>
          <c:showSerName val="0"/>
          <c:showPercent val="0"/>
          <c:showBubbleSize val="0"/>
        </c:dLbls>
        <c:axId val="325359640"/>
        <c:axId val="325360024"/>
      </c:scatterChart>
      <c:valAx>
        <c:axId val="325359640"/>
        <c:scaling>
          <c:logBase val="10"/>
          <c:orientation val="minMax"/>
          <c:max val="1"/>
          <c:min val="1.0000000000000003E-4"/>
        </c:scaling>
        <c:delete val="0"/>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baseline="0"/>
                  <a:t>V:A Ratio</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5360024"/>
        <c:crosses val="autoZero"/>
        <c:crossBetween val="midCat"/>
      </c:valAx>
      <c:valAx>
        <c:axId val="325360024"/>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Efficiency</a:t>
                </a:r>
                <a:r>
                  <a:rPr lang="en-US" baseline="0"/>
                  <a:t> Factor (e</a:t>
                </a:r>
                <a:r>
                  <a:rPr lang="en-US" sz="500" baseline="0"/>
                  <a:t>VA</a:t>
                </a:r>
                <a:r>
                  <a:rPr lang="en-US" sz="1000" baseline="0"/>
                  <a:t>)</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5359640"/>
        <c:crossesAt val="1.0000000000000003E-4"/>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D50 vs. Efficiency Factor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spPr>
            <a:ln w="19050" cap="rnd">
              <a:solidFill>
                <a:schemeClr val="accent1"/>
              </a:solidFill>
              <a:round/>
            </a:ln>
            <a:effectLst/>
          </c:spPr>
          <c:marker>
            <c:symbol val="none"/>
          </c:marker>
          <c:trendline>
            <c:spPr>
              <a:ln w="19050" cap="rnd">
                <a:solidFill>
                  <a:schemeClr val="accent1">
                    <a:alpha val="0"/>
                  </a:schemeClr>
                </a:solidFill>
                <a:prstDash val="sysDot"/>
              </a:ln>
              <a:effectLst/>
            </c:spPr>
            <c:trendlineType val="poly"/>
            <c:order val="6"/>
            <c:dispRSqr val="0"/>
            <c:dispEq val="0"/>
          </c:trendline>
          <c:xVal>
            <c:numRef>
              <c:f>'Grassed Swale Rock Check Dam'!$AY$4:$AY$14</c:f>
              <c:numCache>
                <c:formatCode>0.00E+00</c:formatCode>
                <c:ptCount val="11"/>
                <c:pt idx="0">
                  <c:v>7.8740199999999992E-6</c:v>
                </c:pt>
                <c:pt idx="1">
                  <c:v>8.8582724999999993E-6</c:v>
                </c:pt>
                <c:pt idx="2">
                  <c:v>2.6246733333333331E-5</c:v>
                </c:pt>
                <c:pt idx="3">
                  <c:v>2.9527574999999997E-5</c:v>
                </c:pt>
                <c:pt idx="4">
                  <c:v>6.8897675000000001E-5</c:v>
                </c:pt>
                <c:pt idx="5">
                  <c:v>1.4107619166666666E-4</c:v>
                </c:pt>
                <c:pt idx="6">
                  <c:v>6.5616833333333343E-4</c:v>
                </c:pt>
                <c:pt idx="7">
                  <c:v>6.5616833333333343E-4</c:v>
                </c:pt>
                <c:pt idx="8">
                  <c:v>8.5301883333333331E-4</c:v>
                </c:pt>
                <c:pt idx="9">
                  <c:v>9.5144408333333326E-4</c:v>
                </c:pt>
                <c:pt idx="10">
                  <c:v>1.181103E-3</c:v>
                </c:pt>
              </c:numCache>
            </c:numRef>
          </c:xVal>
          <c:yVal>
            <c:numRef>
              <c:f>'Grassed Swale Rock Check Dam'!$BA$4:$BA$14</c:f>
              <c:numCache>
                <c:formatCode>0.00E+00</c:formatCode>
                <c:ptCount val="11"/>
                <c:pt idx="0">
                  <c:v>0.50004196437225612</c:v>
                </c:pt>
                <c:pt idx="1">
                  <c:v>0.50006358491878811</c:v>
                </c:pt>
                <c:pt idx="2">
                  <c:v>0.50044554790752027</c:v>
                </c:pt>
                <c:pt idx="3">
                  <c:v>0.50051761639596037</c:v>
                </c:pt>
                <c:pt idx="4">
                  <c:v>0.50154090427591469</c:v>
                </c:pt>
                <c:pt idx="5">
                  <c:v>0.50659486748560301</c:v>
                </c:pt>
                <c:pt idx="6">
                  <c:v>0.58100746699905037</c:v>
                </c:pt>
                <c:pt idx="7">
                  <c:v>0.58100746699905037</c:v>
                </c:pt>
                <c:pt idx="8">
                  <c:v>0.62</c:v>
                </c:pt>
                <c:pt idx="9">
                  <c:v>0.68</c:v>
                </c:pt>
                <c:pt idx="10">
                  <c:v>0.98</c:v>
                </c:pt>
              </c:numCache>
            </c:numRef>
          </c:yVal>
          <c:smooth val="1"/>
        </c:ser>
        <c:dLbls>
          <c:showLegendKey val="0"/>
          <c:showVal val="0"/>
          <c:showCatName val="0"/>
          <c:showSerName val="0"/>
          <c:showPercent val="0"/>
          <c:showBubbleSize val="0"/>
        </c:dLbls>
        <c:axId val="325632664"/>
        <c:axId val="325852560"/>
      </c:scatterChart>
      <c:valAx>
        <c:axId val="3256326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D50  (ft)</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5852560"/>
        <c:crosses val="autoZero"/>
        <c:crossBetween val="midCat"/>
      </c:valAx>
      <c:valAx>
        <c:axId val="325852560"/>
        <c:scaling>
          <c:orientation val="minMax"/>
          <c:max val="1"/>
          <c:min val="0.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Efficiency Factor (e</a:t>
                </a:r>
                <a:r>
                  <a:rPr lang="en-US" sz="500"/>
                  <a:t>D50</a:t>
                </a:r>
                <a:r>
                  <a:rPr lang="en-US" sz="1000"/>
                  <a:t>)</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5632664"/>
        <c:crosses val="autoZero"/>
        <c:crossBetween val="midCat"/>
        <c:majorUnit val="0.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V:A Ratio vs</a:t>
            </a:r>
            <a:r>
              <a:rPr lang="en-US" baseline="0"/>
              <a:t>. Efficiency Factor</a:t>
            </a:r>
            <a:endParaRPr lang="en-US"/>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spPr>
            <a:ln w="19050" cap="rnd">
              <a:solidFill>
                <a:schemeClr val="accent1"/>
              </a:solidFill>
              <a:round/>
            </a:ln>
            <a:effectLst/>
          </c:spPr>
          <c:marker>
            <c:symbol val="none"/>
          </c:marker>
          <c:trendline>
            <c:spPr>
              <a:ln w="19050" cap="rnd">
                <a:solidFill>
                  <a:schemeClr val="lt1">
                    <a:shade val="50000"/>
                    <a:alpha val="0"/>
                  </a:schemeClr>
                </a:solidFill>
                <a:prstDash val="sysDot"/>
              </a:ln>
              <a:effectLst/>
            </c:spPr>
            <c:trendlineType val="log"/>
            <c:dispRSqr val="0"/>
            <c:dispEq val="1"/>
            <c:trendlineLbl>
              <c:layout>
                <c:manualLayout>
                  <c:x val="4.5822397200349956E-4"/>
                  <c:y val="-0.10689814814814814"/>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'Bioretention (Rain Garden)'!$AW$2:$AW$12</c:f>
              <c:numCache>
                <c:formatCode>General</c:formatCode>
                <c:ptCount val="11"/>
                <c:pt idx="0">
                  <c:v>1E-4</c:v>
                </c:pt>
                <c:pt idx="1">
                  <c:v>5.0000000000000001E-4</c:v>
                </c:pt>
                <c:pt idx="2">
                  <c:v>8.0000000000000004E-4</c:v>
                </c:pt>
                <c:pt idx="3">
                  <c:v>1E-3</c:v>
                </c:pt>
                <c:pt idx="4">
                  <c:v>5.0000000000000001E-3</c:v>
                </c:pt>
                <c:pt idx="5">
                  <c:v>8.9999999999999993E-3</c:v>
                </c:pt>
                <c:pt idx="6">
                  <c:v>0.05</c:v>
                </c:pt>
                <c:pt idx="7">
                  <c:v>0.11</c:v>
                </c:pt>
                <c:pt idx="8">
                  <c:v>0.35</c:v>
                </c:pt>
                <c:pt idx="9">
                  <c:v>0.8</c:v>
                </c:pt>
                <c:pt idx="10">
                  <c:v>1.6</c:v>
                </c:pt>
              </c:numCache>
            </c:numRef>
          </c:xVal>
          <c:yVal>
            <c:numRef>
              <c:f>'Bioretention (Rain Garden)'!$AX$2:$AX$12</c:f>
              <c:numCache>
                <c:formatCode>0.000</c:formatCode>
                <c:ptCount val="11"/>
                <c:pt idx="0">
                  <c:v>3.7869968395795039E-3</c:v>
                </c:pt>
                <c:pt idx="1">
                  <c:v>0.16456984429174604</c:v>
                </c:pt>
                <c:pt idx="2">
                  <c:v>0.21152320685339498</c:v>
                </c:pt>
                <c:pt idx="3">
                  <c:v>0.23381524762968453</c:v>
                </c:pt>
                <c:pt idx="4">
                  <c:v>0.39459809508185117</c:v>
                </c:pt>
                <c:pt idx="5">
                  <c:v>0.45331798290557285</c:v>
                </c:pt>
                <c:pt idx="6">
                  <c:v>0.62462634587195631</c:v>
                </c:pt>
                <c:pt idx="7">
                  <c:v>0.70339323617234695</c:v>
                </c:pt>
                <c:pt idx="8">
                  <c:v>0.81902276976258215</c:v>
                </c:pt>
                <c:pt idx="9">
                  <c:v>0.90160795922371051</c:v>
                </c:pt>
                <c:pt idx="10">
                  <c:v>0.970853362561649</c:v>
                </c:pt>
              </c:numCache>
            </c:numRef>
          </c:yVal>
          <c:smooth val="1"/>
        </c:ser>
        <c:dLbls>
          <c:showLegendKey val="0"/>
          <c:showVal val="0"/>
          <c:showCatName val="0"/>
          <c:showSerName val="0"/>
          <c:showPercent val="0"/>
          <c:showBubbleSize val="0"/>
        </c:dLbls>
        <c:axId val="168246696"/>
        <c:axId val="168247088"/>
      </c:scatterChart>
      <c:valAx>
        <c:axId val="168246696"/>
        <c:scaling>
          <c:logBase val="10"/>
          <c:orientation val="minMax"/>
          <c:max val="1.6"/>
        </c:scaling>
        <c:delete val="0"/>
        <c:axPos val="b"/>
        <c:majorGridlines>
          <c:spPr>
            <a:ln w="9525" cap="flat" cmpd="sng" algn="ctr">
              <a:solidFill>
                <a:schemeClr val="tx1">
                  <a:lumMod val="15000"/>
                  <a:lumOff val="85000"/>
                </a:schemeClr>
              </a:solidFill>
              <a:round/>
            </a:ln>
            <a:effectLst/>
          </c:spPr>
        </c:majorGridlines>
        <c:minorGridlines>
          <c:spPr>
            <a:ln w="9525" cap="flat" cmpd="sng" algn="ctr">
              <a:solidFill>
                <a:schemeClr val="bg1">
                  <a:lumMod val="85000"/>
                </a:schemeClr>
              </a:solidFill>
              <a:round/>
            </a:ln>
            <a:effectLst/>
          </c:spPr>
        </c:min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V:A</a:t>
                </a:r>
                <a:r>
                  <a:rPr lang="en-US" baseline="0"/>
                  <a:t> Ratio (Ac.-ft/Ac.)</a:t>
                </a:r>
                <a:endParaRPr lang="en-US"/>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8247088"/>
        <c:crosses val="autoZero"/>
        <c:crossBetween val="midCat"/>
      </c:valAx>
      <c:valAx>
        <c:axId val="168247088"/>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Efficiency Factor (e</a:t>
                </a:r>
                <a:r>
                  <a:rPr lang="en-US" sz="500"/>
                  <a:t>V:A</a:t>
                </a:r>
                <a:r>
                  <a:rPr lang="en-US" sz="1000"/>
                  <a:t>)</a:t>
                </a:r>
                <a:endParaRPr lang="en-US"/>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8246696"/>
        <c:crossesAt val="1.0000000000000003E-4"/>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5.xml"/><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141792</xdr:colOff>
      <xdr:row>34</xdr:row>
      <xdr:rowOff>58232</xdr:rowOff>
    </xdr:from>
    <xdr:to>
      <xdr:col>7</xdr:col>
      <xdr:colOff>141792</xdr:colOff>
      <xdr:row>51</xdr:row>
      <xdr:rowOff>108239</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46</xdr:col>
      <xdr:colOff>493568</xdr:colOff>
      <xdr:row>14</xdr:row>
      <xdr:rowOff>155864</xdr:rowOff>
    </xdr:from>
    <xdr:to>
      <xdr:col>53</xdr:col>
      <xdr:colOff>701387</xdr:colOff>
      <xdr:row>19</xdr:row>
      <xdr:rowOff>17318</xdr:rowOff>
    </xdr:to>
    <xdr:sp macro="" textlink="">
      <xdr:nvSpPr>
        <xdr:cNvPr id="2" name="TextBox 1"/>
        <xdr:cNvSpPr txBox="1"/>
      </xdr:nvSpPr>
      <xdr:spPr>
        <a:xfrm>
          <a:off x="19448318" y="3403023"/>
          <a:ext cx="4901046" cy="8139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t>Tromp-van Meerveld, H. J., J.-Y. Parlange, D. A. Barry, M. F. Tromp, G. C. Sander, M. T. Walter, and M. B. Parlange (2008), Influence of sediment settling velocity on mechanistic soil erosion modeling, Water Resour. Res., 44, W06401, doi:10.1029/2007WR006361.</a:t>
          </a:r>
          <a:endParaRPr lang="en-US" sz="1100"/>
        </a:p>
      </xdr:txBody>
    </xdr:sp>
    <xdr:clientData/>
  </xdr:twoCellAnchor>
  <xdr:twoCellAnchor>
    <xdr:from>
      <xdr:col>0</xdr:col>
      <xdr:colOff>0</xdr:colOff>
      <xdr:row>11</xdr:row>
      <xdr:rowOff>176428</xdr:rowOff>
    </xdr:from>
    <xdr:to>
      <xdr:col>6</xdr:col>
      <xdr:colOff>540544</xdr:colOff>
      <xdr:row>28</xdr:row>
      <xdr:rowOff>185953</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447675</xdr:colOff>
      <xdr:row>35</xdr:row>
      <xdr:rowOff>125731</xdr:rowOff>
    </xdr:from>
    <xdr:to>
      <xdr:col>7</xdr:col>
      <xdr:colOff>314325</xdr:colOff>
      <xdr:row>36</xdr:row>
      <xdr:rowOff>161925</xdr:rowOff>
    </xdr:to>
    <xdr:sp macro="" textlink="">
      <xdr:nvSpPr>
        <xdr:cNvPr id="4" name="TextBox 3"/>
        <xdr:cNvSpPr txBox="1"/>
      </xdr:nvSpPr>
      <xdr:spPr>
        <a:xfrm>
          <a:off x="2181225" y="8145781"/>
          <a:ext cx="3600450" cy="2266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b="0" i="0" u="none" strike="noStrike">
              <a:solidFill>
                <a:schemeClr val="dk1"/>
              </a:solidFill>
              <a:effectLst/>
              <a:latin typeface="+mn-lt"/>
              <a:ea typeface="+mn-ea"/>
              <a:cs typeface="+mn-cs"/>
            </a:rPr>
            <a:t>y = 6E+18x</a:t>
          </a:r>
          <a:r>
            <a:rPr lang="en-US" sz="900" b="0" i="0" u="none" strike="noStrike" baseline="30000">
              <a:solidFill>
                <a:schemeClr val="dk1"/>
              </a:solidFill>
              <a:effectLst/>
              <a:latin typeface="+mn-lt"/>
              <a:ea typeface="+mn-ea"/>
              <a:cs typeface="+mn-cs"/>
            </a:rPr>
            <a:t>6</a:t>
          </a:r>
          <a:r>
            <a:rPr lang="en-US" sz="900" b="0" i="0" u="none" strike="noStrike">
              <a:solidFill>
                <a:schemeClr val="dk1"/>
              </a:solidFill>
              <a:effectLst/>
              <a:latin typeface="+mn-lt"/>
              <a:ea typeface="+mn-ea"/>
              <a:cs typeface="+mn-cs"/>
            </a:rPr>
            <a:t> - 2E+16x</a:t>
          </a:r>
          <a:r>
            <a:rPr lang="en-US" sz="900" b="0" i="0" u="none" strike="noStrike" baseline="30000">
              <a:solidFill>
                <a:schemeClr val="dk1"/>
              </a:solidFill>
              <a:effectLst/>
              <a:latin typeface="+mn-lt"/>
              <a:ea typeface="+mn-ea"/>
              <a:cs typeface="+mn-cs"/>
            </a:rPr>
            <a:t>5</a:t>
          </a:r>
          <a:r>
            <a:rPr lang="en-US" sz="900" b="0" i="0" u="none" strike="noStrike">
              <a:solidFill>
                <a:schemeClr val="dk1"/>
              </a:solidFill>
              <a:effectLst/>
              <a:latin typeface="+mn-lt"/>
              <a:ea typeface="+mn-ea"/>
              <a:cs typeface="+mn-cs"/>
            </a:rPr>
            <a:t> + 2E+13x</a:t>
          </a:r>
          <a:r>
            <a:rPr lang="en-US" sz="900" b="0" i="0" u="none" strike="noStrike" baseline="30000">
              <a:solidFill>
                <a:schemeClr val="dk1"/>
              </a:solidFill>
              <a:effectLst/>
              <a:latin typeface="+mn-lt"/>
              <a:ea typeface="+mn-ea"/>
              <a:cs typeface="+mn-cs"/>
            </a:rPr>
            <a:t>4</a:t>
          </a:r>
          <a:r>
            <a:rPr lang="en-US" sz="900" b="0" i="0" u="none" strike="noStrike">
              <a:solidFill>
                <a:schemeClr val="dk1"/>
              </a:solidFill>
              <a:effectLst/>
              <a:latin typeface="+mn-lt"/>
              <a:ea typeface="+mn-ea"/>
              <a:cs typeface="+mn-cs"/>
            </a:rPr>
            <a:t> - 6E+09x</a:t>
          </a:r>
          <a:r>
            <a:rPr lang="en-US" sz="900" b="0" i="0" u="none" strike="noStrike" baseline="30000">
              <a:solidFill>
                <a:schemeClr val="dk1"/>
              </a:solidFill>
              <a:effectLst/>
              <a:latin typeface="+mn-lt"/>
              <a:ea typeface="+mn-ea"/>
              <a:cs typeface="+mn-cs"/>
            </a:rPr>
            <a:t>3</a:t>
          </a:r>
          <a:r>
            <a:rPr lang="en-US" sz="900" b="0" i="0" u="none" strike="noStrike">
              <a:solidFill>
                <a:schemeClr val="dk1"/>
              </a:solidFill>
              <a:effectLst/>
              <a:latin typeface="+mn-lt"/>
              <a:ea typeface="+mn-ea"/>
              <a:cs typeface="+mn-cs"/>
            </a:rPr>
            <a:t> + 1E+06x</a:t>
          </a:r>
          <a:r>
            <a:rPr lang="en-US" sz="900" b="0" i="0" u="none" strike="noStrike" baseline="30000">
              <a:solidFill>
                <a:schemeClr val="dk1"/>
              </a:solidFill>
              <a:effectLst/>
              <a:latin typeface="+mn-lt"/>
              <a:ea typeface="+mn-ea"/>
              <a:cs typeface="+mn-cs"/>
            </a:rPr>
            <a:t>2</a:t>
          </a:r>
          <a:r>
            <a:rPr lang="en-US" sz="900" b="0" i="0" u="none" strike="noStrike">
              <a:solidFill>
                <a:schemeClr val="dk1"/>
              </a:solidFill>
              <a:effectLst/>
              <a:latin typeface="+mn-lt"/>
              <a:ea typeface="+mn-ea"/>
              <a:cs typeface="+mn-cs"/>
            </a:rPr>
            <a:t> - 34.236x + 0.5004</a:t>
          </a:r>
          <a:r>
            <a:rPr lang="en-US" sz="9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11</xdr:row>
      <xdr:rowOff>117763</xdr:rowOff>
    </xdr:from>
    <xdr:to>
      <xdr:col>6</xdr:col>
      <xdr:colOff>583406</xdr:colOff>
      <xdr:row>29</xdr:row>
      <xdr:rowOff>23812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133350</xdr:colOff>
      <xdr:row>4</xdr:row>
      <xdr:rowOff>95251</xdr:rowOff>
    </xdr:from>
    <xdr:to>
      <xdr:col>3</xdr:col>
      <xdr:colOff>466725</xdr:colOff>
      <xdr:row>6</xdr:row>
      <xdr:rowOff>9525</xdr:rowOff>
    </xdr:to>
    <xdr:grpSp>
      <xdr:nvGrpSpPr>
        <xdr:cNvPr id="4" name="Group 3"/>
        <xdr:cNvGrpSpPr/>
      </xdr:nvGrpSpPr>
      <xdr:grpSpPr>
        <a:xfrm>
          <a:off x="2505075" y="1047751"/>
          <a:ext cx="942975" cy="866774"/>
          <a:chOff x="2327244" y="2622884"/>
          <a:chExt cx="1323591" cy="997305"/>
        </a:xfrm>
      </xdr:grpSpPr>
      <xdr:cxnSp macro="">
        <xdr:nvCxnSpPr>
          <xdr:cNvPr id="5" name="Straight Connector 4"/>
          <xdr:cNvCxnSpPr/>
        </xdr:nvCxnSpPr>
        <xdr:spPr>
          <a:xfrm>
            <a:off x="2430379" y="2622884"/>
            <a:ext cx="794084" cy="997305"/>
          </a:xfrm>
          <a:prstGeom prst="line">
            <a:avLst/>
          </a:prstGeom>
        </xdr:spPr>
        <xdr:style>
          <a:lnRef idx="1">
            <a:schemeClr val="accent1"/>
          </a:lnRef>
          <a:fillRef idx="0">
            <a:schemeClr val="accent1"/>
          </a:fillRef>
          <a:effectRef idx="0">
            <a:schemeClr val="accent1"/>
          </a:effectRef>
          <a:fontRef idx="minor">
            <a:schemeClr val="tx1"/>
          </a:fontRef>
        </xdr:style>
      </xdr:cxnSp>
      <xdr:cxnSp macro="">
        <xdr:nvCxnSpPr>
          <xdr:cNvPr id="6" name="Straight Connector 5"/>
          <xdr:cNvCxnSpPr/>
        </xdr:nvCxnSpPr>
        <xdr:spPr>
          <a:xfrm>
            <a:off x="3224463" y="3620189"/>
            <a:ext cx="426372" cy="0"/>
          </a:xfrm>
          <a:prstGeom prst="line">
            <a:avLst/>
          </a:prstGeom>
        </xdr:spPr>
        <xdr:style>
          <a:lnRef idx="1">
            <a:schemeClr val="accent1"/>
          </a:lnRef>
          <a:fillRef idx="0">
            <a:schemeClr val="accent1"/>
          </a:fillRef>
          <a:effectRef idx="0">
            <a:schemeClr val="accent1"/>
          </a:effectRef>
          <a:fontRef idx="minor">
            <a:schemeClr val="tx1"/>
          </a:fontRef>
        </xdr:style>
      </xdr:cxnSp>
      <xdr:cxnSp macro="">
        <xdr:nvCxnSpPr>
          <xdr:cNvPr id="7" name="Straight Connector 6"/>
          <xdr:cNvCxnSpPr/>
        </xdr:nvCxnSpPr>
        <xdr:spPr>
          <a:xfrm>
            <a:off x="2586789" y="2839453"/>
            <a:ext cx="9025" cy="505326"/>
          </a:xfrm>
          <a:prstGeom prst="line">
            <a:avLst/>
          </a:prstGeom>
        </xdr:spPr>
        <xdr:style>
          <a:lnRef idx="1">
            <a:schemeClr val="accent1"/>
          </a:lnRef>
          <a:fillRef idx="0">
            <a:schemeClr val="accent1"/>
          </a:fillRef>
          <a:effectRef idx="0">
            <a:schemeClr val="accent1"/>
          </a:effectRef>
          <a:fontRef idx="minor">
            <a:schemeClr val="tx1"/>
          </a:fontRef>
        </xdr:style>
      </xdr:cxnSp>
      <xdr:cxnSp macro="">
        <xdr:nvCxnSpPr>
          <xdr:cNvPr id="8" name="Straight Connector 7"/>
          <xdr:cNvCxnSpPr/>
        </xdr:nvCxnSpPr>
        <xdr:spPr>
          <a:xfrm flipH="1">
            <a:off x="2595815" y="3344779"/>
            <a:ext cx="400049" cy="0"/>
          </a:xfrm>
          <a:prstGeom prst="line">
            <a:avLst/>
          </a:prstGeom>
        </xdr:spPr>
        <xdr:style>
          <a:lnRef idx="1">
            <a:schemeClr val="accent1"/>
          </a:lnRef>
          <a:fillRef idx="0">
            <a:schemeClr val="accent1"/>
          </a:fillRef>
          <a:effectRef idx="0">
            <a:schemeClr val="accent1"/>
          </a:effectRef>
          <a:fontRef idx="minor">
            <a:schemeClr val="tx1"/>
          </a:fontRef>
        </xdr:style>
      </xdr:cxnSp>
      <xdr:sp macro="" textlink="">
        <xdr:nvSpPr>
          <xdr:cNvPr id="9" name="TextBox 20"/>
          <xdr:cNvSpPr txBox="1"/>
        </xdr:nvSpPr>
        <xdr:spPr>
          <a:xfrm>
            <a:off x="2705226" y="3266177"/>
            <a:ext cx="136608" cy="276999"/>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200"/>
              <a:t>z</a:t>
            </a:r>
          </a:p>
        </xdr:txBody>
      </xdr:sp>
      <xdr:sp macro="" textlink="">
        <xdr:nvSpPr>
          <xdr:cNvPr id="10" name="TextBox 21"/>
          <xdr:cNvSpPr txBox="1"/>
        </xdr:nvSpPr>
        <xdr:spPr>
          <a:xfrm>
            <a:off x="2327244" y="2989178"/>
            <a:ext cx="201722" cy="276999"/>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200"/>
              <a:t>1</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133350</xdr:colOff>
      <xdr:row>4</xdr:row>
      <xdr:rowOff>95251</xdr:rowOff>
    </xdr:from>
    <xdr:to>
      <xdr:col>4</xdr:col>
      <xdr:colOff>323850</xdr:colOff>
      <xdr:row>7</xdr:row>
      <xdr:rowOff>84666</xdr:rowOff>
    </xdr:to>
    <xdr:grpSp>
      <xdr:nvGrpSpPr>
        <xdr:cNvPr id="2" name="Group 1"/>
        <xdr:cNvGrpSpPr/>
      </xdr:nvGrpSpPr>
      <xdr:grpSpPr>
        <a:xfrm>
          <a:off x="3133725" y="866776"/>
          <a:ext cx="1409700" cy="770465"/>
          <a:chOff x="2327244" y="2622884"/>
          <a:chExt cx="1323591" cy="997305"/>
        </a:xfrm>
      </xdr:grpSpPr>
      <xdr:cxnSp macro="">
        <xdr:nvCxnSpPr>
          <xdr:cNvPr id="3" name="Straight Connector 2"/>
          <xdr:cNvCxnSpPr/>
        </xdr:nvCxnSpPr>
        <xdr:spPr>
          <a:xfrm>
            <a:off x="2430379" y="2622884"/>
            <a:ext cx="794084" cy="997305"/>
          </a:xfrm>
          <a:prstGeom prst="line">
            <a:avLst/>
          </a:prstGeom>
        </xdr:spPr>
        <xdr:style>
          <a:lnRef idx="1">
            <a:schemeClr val="accent1"/>
          </a:lnRef>
          <a:fillRef idx="0">
            <a:schemeClr val="accent1"/>
          </a:fillRef>
          <a:effectRef idx="0">
            <a:schemeClr val="accent1"/>
          </a:effectRef>
          <a:fontRef idx="minor">
            <a:schemeClr val="tx1"/>
          </a:fontRef>
        </xdr:style>
      </xdr:cxnSp>
      <xdr:cxnSp macro="">
        <xdr:nvCxnSpPr>
          <xdr:cNvPr id="4" name="Straight Connector 3"/>
          <xdr:cNvCxnSpPr/>
        </xdr:nvCxnSpPr>
        <xdr:spPr>
          <a:xfrm>
            <a:off x="3224463" y="3620189"/>
            <a:ext cx="426372" cy="0"/>
          </a:xfrm>
          <a:prstGeom prst="line">
            <a:avLst/>
          </a:prstGeom>
        </xdr:spPr>
        <xdr:style>
          <a:lnRef idx="1">
            <a:schemeClr val="accent1"/>
          </a:lnRef>
          <a:fillRef idx="0">
            <a:schemeClr val="accent1"/>
          </a:fillRef>
          <a:effectRef idx="0">
            <a:schemeClr val="accent1"/>
          </a:effectRef>
          <a:fontRef idx="minor">
            <a:schemeClr val="tx1"/>
          </a:fontRef>
        </xdr:style>
      </xdr:cxnSp>
      <xdr:cxnSp macro="">
        <xdr:nvCxnSpPr>
          <xdr:cNvPr id="5" name="Straight Connector 4"/>
          <xdr:cNvCxnSpPr/>
        </xdr:nvCxnSpPr>
        <xdr:spPr>
          <a:xfrm>
            <a:off x="2586789" y="2839453"/>
            <a:ext cx="9025" cy="505326"/>
          </a:xfrm>
          <a:prstGeom prst="line">
            <a:avLst/>
          </a:prstGeom>
        </xdr:spPr>
        <xdr:style>
          <a:lnRef idx="1">
            <a:schemeClr val="accent1"/>
          </a:lnRef>
          <a:fillRef idx="0">
            <a:schemeClr val="accent1"/>
          </a:fillRef>
          <a:effectRef idx="0">
            <a:schemeClr val="accent1"/>
          </a:effectRef>
          <a:fontRef idx="minor">
            <a:schemeClr val="tx1"/>
          </a:fontRef>
        </xdr:style>
      </xdr:cxnSp>
      <xdr:cxnSp macro="">
        <xdr:nvCxnSpPr>
          <xdr:cNvPr id="6" name="Straight Connector 5"/>
          <xdr:cNvCxnSpPr/>
        </xdr:nvCxnSpPr>
        <xdr:spPr>
          <a:xfrm flipH="1">
            <a:off x="2595815" y="3344779"/>
            <a:ext cx="400049" cy="0"/>
          </a:xfrm>
          <a:prstGeom prst="line">
            <a:avLst/>
          </a:prstGeom>
        </xdr:spPr>
        <xdr:style>
          <a:lnRef idx="1">
            <a:schemeClr val="accent1"/>
          </a:lnRef>
          <a:fillRef idx="0">
            <a:schemeClr val="accent1"/>
          </a:fillRef>
          <a:effectRef idx="0">
            <a:schemeClr val="accent1"/>
          </a:effectRef>
          <a:fontRef idx="minor">
            <a:schemeClr val="tx1"/>
          </a:fontRef>
        </xdr:style>
      </xdr:cxnSp>
      <xdr:sp macro="" textlink="">
        <xdr:nvSpPr>
          <xdr:cNvPr id="7" name="TextBox 20"/>
          <xdr:cNvSpPr txBox="1"/>
        </xdr:nvSpPr>
        <xdr:spPr>
          <a:xfrm>
            <a:off x="2705226" y="3266177"/>
            <a:ext cx="136608" cy="276999"/>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200"/>
              <a:t>z</a:t>
            </a:r>
          </a:p>
        </xdr:txBody>
      </xdr:sp>
      <xdr:sp macro="" textlink="">
        <xdr:nvSpPr>
          <xdr:cNvPr id="8" name="TextBox 21"/>
          <xdr:cNvSpPr txBox="1"/>
        </xdr:nvSpPr>
        <xdr:spPr>
          <a:xfrm>
            <a:off x="2327244" y="2989178"/>
            <a:ext cx="201722" cy="276999"/>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200"/>
              <a:t>1</a:t>
            </a:r>
          </a:p>
        </xdr:txBody>
      </xdr:sp>
    </xdr:grpSp>
    <xdr:clientData/>
  </xdr:twoCellAnchor>
  <xdr:twoCellAnchor>
    <xdr:from>
      <xdr:col>4</xdr:col>
      <xdr:colOff>15874</xdr:colOff>
      <xdr:row>10</xdr:row>
      <xdr:rowOff>4762</xdr:rowOff>
    </xdr:from>
    <xdr:to>
      <xdr:col>7</xdr:col>
      <xdr:colOff>44449</xdr:colOff>
      <xdr:row>23</xdr:row>
      <xdr:rowOff>128587</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10583</xdr:colOff>
      <xdr:row>24</xdr:row>
      <xdr:rowOff>178858</xdr:rowOff>
    </xdr:from>
    <xdr:to>
      <xdr:col>7</xdr:col>
      <xdr:colOff>1</xdr:colOff>
      <xdr:row>39</xdr:row>
      <xdr:rowOff>64558</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4</xdr:col>
      <xdr:colOff>1117024</xdr:colOff>
      <xdr:row>26</xdr:row>
      <xdr:rowOff>60614</xdr:rowOff>
    </xdr:from>
    <xdr:to>
      <xdr:col>7</xdr:col>
      <xdr:colOff>124658</xdr:colOff>
      <xdr:row>27</xdr:row>
      <xdr:rowOff>101782</xdr:rowOff>
    </xdr:to>
    <xdr:pic>
      <xdr:nvPicPr>
        <xdr:cNvPr id="16" name="Picture 15"/>
        <xdr:cNvPicPr>
          <a:picLocks noChangeAspect="1"/>
        </xdr:cNvPicPr>
      </xdr:nvPicPr>
      <xdr:blipFill>
        <a:blip xmlns:r="http://schemas.openxmlformats.org/officeDocument/2006/relationships" r:embed="rId3"/>
        <a:stretch>
          <a:fillRect/>
        </a:stretch>
      </xdr:blipFill>
      <xdr:spPr>
        <a:xfrm>
          <a:off x="5334001" y="5637069"/>
          <a:ext cx="3596952" cy="23166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195262</xdr:colOff>
      <xdr:row>13</xdr:row>
      <xdr:rowOff>23812</xdr:rowOff>
    </xdr:from>
    <xdr:to>
      <xdr:col>9</xdr:col>
      <xdr:colOff>500062</xdr:colOff>
      <xdr:row>27</xdr:row>
      <xdr:rowOff>100012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20"/>
  <sheetViews>
    <sheetView topLeftCell="AA1" zoomScaleNormal="100" workbookViewId="0">
      <selection activeCell="AT20" sqref="AT20"/>
    </sheetView>
  </sheetViews>
  <sheetFormatPr defaultRowHeight="15" x14ac:dyDescent="0.25"/>
  <cols>
    <col min="1" max="1" width="6.7109375" customWidth="1"/>
    <col min="2" max="2" width="10.28515625" customWidth="1"/>
    <col min="3" max="3" width="6.28515625" customWidth="1"/>
    <col min="4" max="4" width="20.140625" customWidth="1"/>
    <col min="6" max="6" width="4.85546875" customWidth="1"/>
    <col min="7" max="7" width="9" customWidth="1"/>
    <col min="8" max="8" width="6" customWidth="1"/>
    <col min="11" max="11" width="5.28515625" customWidth="1"/>
    <col min="12" max="13" width="9.140625" customWidth="1"/>
    <col min="16" max="16" width="5.5703125" customWidth="1"/>
    <col min="19" max="19" width="10.140625" customWidth="1"/>
    <col min="20" max="20" width="10.42578125" customWidth="1"/>
    <col min="39" max="39" width="24.7109375" bestFit="1" customWidth="1"/>
    <col min="40" max="42" width="0.7109375" customWidth="1"/>
    <col min="43" max="43" width="15.7109375" bestFit="1" customWidth="1"/>
    <col min="46" max="46" width="10.28515625" bestFit="1" customWidth="1"/>
    <col min="48" max="48" width="16.140625" customWidth="1"/>
  </cols>
  <sheetData>
    <row r="1" spans="1:49" ht="45" x14ac:dyDescent="0.25">
      <c r="A1" s="163" t="s">
        <v>111</v>
      </c>
      <c r="B1" s="163"/>
      <c r="C1" s="158">
        <v>47.582000000000001</v>
      </c>
      <c r="D1" s="158"/>
      <c r="F1" s="165" t="s">
        <v>115</v>
      </c>
      <c r="G1" s="165"/>
      <c r="H1" s="165"/>
      <c r="I1" s="165"/>
      <c r="J1" s="165"/>
      <c r="K1" s="165"/>
      <c r="L1" s="165"/>
      <c r="M1" s="165"/>
      <c r="N1" s="165"/>
      <c r="AV1" s="1" t="s">
        <v>23</v>
      </c>
    </row>
    <row r="2" spans="1:49" ht="31.5" customHeight="1" x14ac:dyDescent="0.25">
      <c r="A2" s="163" t="s">
        <v>3</v>
      </c>
      <c r="B2" s="163"/>
      <c r="C2" s="158" t="s">
        <v>14</v>
      </c>
      <c r="D2" s="158"/>
      <c r="F2" s="164" t="s">
        <v>116</v>
      </c>
      <c r="G2" s="164"/>
      <c r="H2" s="164"/>
      <c r="I2" s="164"/>
      <c r="J2" s="164"/>
      <c r="K2" s="164"/>
      <c r="L2" s="164"/>
      <c r="M2" s="164"/>
      <c r="N2" s="164"/>
      <c r="O2" s="164"/>
      <c r="P2" s="164"/>
      <c r="Q2" s="164"/>
      <c r="R2" s="164"/>
      <c r="AR2" s="1" t="s">
        <v>20</v>
      </c>
      <c r="AS2" s="1" t="s">
        <v>21</v>
      </c>
      <c r="AT2" t="s">
        <v>17</v>
      </c>
      <c r="AU2" s="1" t="s">
        <v>18</v>
      </c>
      <c r="AV2" s="7" t="s">
        <v>22</v>
      </c>
      <c r="AW2" s="7" t="s">
        <v>24</v>
      </c>
    </row>
    <row r="3" spans="1:49" x14ac:dyDescent="0.25">
      <c r="A3" s="158" t="s">
        <v>0</v>
      </c>
      <c r="B3" s="158"/>
      <c r="C3" s="158" t="s">
        <v>124</v>
      </c>
      <c r="D3" s="158"/>
      <c r="F3" s="164"/>
      <c r="G3" s="164"/>
      <c r="H3" s="164"/>
      <c r="I3" s="164"/>
      <c r="J3" s="164"/>
      <c r="K3" s="164"/>
      <c r="L3" s="164"/>
      <c r="M3" s="164"/>
      <c r="N3" s="164"/>
      <c r="O3" s="164"/>
      <c r="P3" s="164"/>
      <c r="Q3" s="164"/>
      <c r="R3" s="164"/>
      <c r="AM3" t="s">
        <v>1</v>
      </c>
      <c r="AQ3" t="s">
        <v>4</v>
      </c>
      <c r="AR3" s="4">
        <v>1.4</v>
      </c>
      <c r="AS3">
        <f t="shared" ref="AS3:AS14" si="0">AR3*0.036127292</f>
        <v>5.0578208799999996E-2</v>
      </c>
      <c r="AT3" s="6">
        <v>2.7000000000000001E-3</v>
      </c>
      <c r="AU3" s="5">
        <f t="shared" ref="AU3:AU14" si="1">AT3*0.0393701</f>
        <v>1.0629927E-4</v>
      </c>
      <c r="AV3">
        <v>1.4</v>
      </c>
      <c r="AW3">
        <v>62.4</v>
      </c>
    </row>
    <row r="4" spans="1:49" x14ac:dyDescent="0.25">
      <c r="A4" s="71"/>
      <c r="B4" s="71"/>
      <c r="C4" s="71"/>
      <c r="D4" s="71"/>
      <c r="F4" s="164"/>
      <c r="G4" s="164"/>
      <c r="H4" s="164"/>
      <c r="I4" s="164"/>
      <c r="J4" s="164"/>
      <c r="K4" s="164"/>
      <c r="L4" s="164"/>
      <c r="M4" s="164"/>
      <c r="N4" s="164"/>
      <c r="O4" s="164"/>
      <c r="P4" s="164"/>
      <c r="Q4" s="164"/>
      <c r="R4" s="164"/>
      <c r="AM4" t="s">
        <v>34</v>
      </c>
      <c r="AQ4" t="s">
        <v>10</v>
      </c>
      <c r="AR4" s="4">
        <v>1.65</v>
      </c>
      <c r="AS4">
        <f t="shared" si="0"/>
        <v>5.9610031799999991E-2</v>
      </c>
      <c r="AT4" s="6">
        <v>8.9999999999999993E-3</v>
      </c>
      <c r="AU4" s="5">
        <f t="shared" si="1"/>
        <v>3.5433089999999996E-4</v>
      </c>
    </row>
    <row r="5" spans="1:49" ht="26.25" x14ac:dyDescent="0.4">
      <c r="A5" s="2" t="str">
        <f>IF(C3="Detention Pond","See Detention Pond Sheet",IF(C3="Infiltration Trench","See Infiltration Trench Sheet", IF(C3="Bioretention (Rain Garden)","See Bioretention (Rain Garden) Sheet","See Grassed Swale Rock Check Dam Sheet")))</f>
        <v>See Grassed Swale Rock Check Dam Sheet</v>
      </c>
      <c r="B5" s="2"/>
      <c r="G5" s="100"/>
      <c r="H5" s="100"/>
      <c r="I5" s="100"/>
      <c r="J5" s="100"/>
      <c r="K5" s="100"/>
      <c r="L5" s="100"/>
      <c r="M5" s="100"/>
      <c r="N5" s="100"/>
      <c r="O5" s="100"/>
      <c r="P5" s="100"/>
      <c r="AM5" t="s">
        <v>114</v>
      </c>
      <c r="AQ5" t="s">
        <v>11</v>
      </c>
      <c r="AR5" s="4">
        <v>1.7</v>
      </c>
      <c r="AS5">
        <f t="shared" si="0"/>
        <v>6.1416396399999997E-2</v>
      </c>
      <c r="AT5" s="6">
        <v>4.2999999999999997E-2</v>
      </c>
      <c r="AU5" s="5">
        <f t="shared" si="1"/>
        <v>1.6929142999999999E-3</v>
      </c>
    </row>
    <row r="6" spans="1:49" x14ac:dyDescent="0.25">
      <c r="AM6" t="s">
        <v>123</v>
      </c>
      <c r="AQ6" t="s">
        <v>8</v>
      </c>
      <c r="AR6" s="4">
        <v>1.8</v>
      </c>
      <c r="AS6">
        <f t="shared" si="0"/>
        <v>6.5029125600000001E-2</v>
      </c>
      <c r="AT6" s="6">
        <v>0.36</v>
      </c>
      <c r="AU6" s="5">
        <f t="shared" si="1"/>
        <v>1.4173235999999999E-2</v>
      </c>
    </row>
    <row r="7" spans="1:49" x14ac:dyDescent="0.25">
      <c r="AM7" t="s">
        <v>125</v>
      </c>
      <c r="AQ7" t="s">
        <v>9</v>
      </c>
      <c r="AR7" s="4">
        <v>1.8</v>
      </c>
      <c r="AS7">
        <f t="shared" si="0"/>
        <v>6.5029125600000001E-2</v>
      </c>
      <c r="AT7" s="6">
        <v>0.28999999999999998</v>
      </c>
      <c r="AU7" s="5">
        <f t="shared" si="1"/>
        <v>1.1417328999999999E-2</v>
      </c>
    </row>
    <row r="8" spans="1:49" ht="15.75" thickBot="1" x14ac:dyDescent="0.3">
      <c r="AQ8" t="s">
        <v>5</v>
      </c>
      <c r="AR8" s="4">
        <v>1.6</v>
      </c>
      <c r="AS8">
        <f t="shared" si="0"/>
        <v>5.7803667199999999E-2</v>
      </c>
      <c r="AT8" s="6">
        <v>0.2</v>
      </c>
      <c r="AU8" s="5">
        <f t="shared" si="1"/>
        <v>7.8740200000000007E-3</v>
      </c>
    </row>
    <row r="9" spans="1:49" ht="15.75" thickBot="1" x14ac:dyDescent="0.3">
      <c r="A9" s="159" t="s">
        <v>37</v>
      </c>
      <c r="B9" s="160"/>
      <c r="C9" s="160"/>
      <c r="D9" s="160"/>
      <c r="E9" s="160"/>
      <c r="F9" s="160"/>
      <c r="G9" s="160"/>
      <c r="H9" s="160"/>
      <c r="I9" s="160"/>
      <c r="J9" s="160"/>
      <c r="K9" s="160"/>
      <c r="L9" s="160"/>
      <c r="M9" s="160"/>
      <c r="N9" s="160"/>
      <c r="O9" s="160"/>
      <c r="P9" s="160"/>
      <c r="Q9" s="160"/>
      <c r="R9" s="161"/>
      <c r="S9" s="159" t="s">
        <v>38</v>
      </c>
      <c r="T9" s="162"/>
      <c r="AQ9" t="s">
        <v>6</v>
      </c>
      <c r="AR9" s="4">
        <v>1.7</v>
      </c>
      <c r="AS9">
        <f t="shared" si="0"/>
        <v>6.1416396399999997E-2</v>
      </c>
      <c r="AT9" s="6">
        <v>0.2</v>
      </c>
      <c r="AU9" s="5">
        <f t="shared" si="1"/>
        <v>7.8740200000000007E-3</v>
      </c>
    </row>
    <row r="10" spans="1:49" ht="45" customHeight="1" x14ac:dyDescent="0.25">
      <c r="A10" s="16" t="s">
        <v>39</v>
      </c>
      <c r="B10" s="17" t="s">
        <v>40</v>
      </c>
      <c r="C10" s="16" t="s">
        <v>41</v>
      </c>
      <c r="D10" s="18" t="s">
        <v>42</v>
      </c>
      <c r="E10" s="18" t="s">
        <v>43</v>
      </c>
      <c r="F10" s="19" t="s">
        <v>44</v>
      </c>
      <c r="G10" s="18" t="s">
        <v>45</v>
      </c>
      <c r="H10" s="18" t="s">
        <v>46</v>
      </c>
      <c r="I10" s="18" t="s">
        <v>42</v>
      </c>
      <c r="J10" s="18" t="s">
        <v>43</v>
      </c>
      <c r="K10" s="19" t="s">
        <v>47</v>
      </c>
      <c r="L10" s="18" t="s">
        <v>48</v>
      </c>
      <c r="M10" s="16" t="s">
        <v>49</v>
      </c>
      <c r="N10" s="18" t="s">
        <v>42</v>
      </c>
      <c r="O10" s="18" t="s">
        <v>43</v>
      </c>
      <c r="P10" s="19" t="s">
        <v>50</v>
      </c>
      <c r="Q10" s="16" t="s">
        <v>55</v>
      </c>
      <c r="R10" s="18" t="s">
        <v>51</v>
      </c>
      <c r="S10" s="18" t="s">
        <v>52</v>
      </c>
      <c r="T10" s="20" t="s">
        <v>53</v>
      </c>
      <c r="AQ10" t="s">
        <v>7</v>
      </c>
      <c r="AR10" s="4">
        <v>1.75</v>
      </c>
      <c r="AS10">
        <f t="shared" si="0"/>
        <v>6.3222761000000002E-2</v>
      </c>
      <c r="AT10" s="6">
        <v>0.26</v>
      </c>
      <c r="AU10" s="5">
        <f t="shared" si="1"/>
        <v>1.0236225999999999E-2</v>
      </c>
    </row>
    <row r="11" spans="1:49" x14ac:dyDescent="0.25">
      <c r="A11" s="21">
        <v>1</v>
      </c>
      <c r="B11" s="76">
        <v>360</v>
      </c>
      <c r="C11" s="77">
        <v>81</v>
      </c>
      <c r="D11" s="77">
        <v>4267</v>
      </c>
      <c r="E11" s="77">
        <v>4255</v>
      </c>
      <c r="F11" s="21">
        <f>D11-E11</f>
        <v>12</v>
      </c>
      <c r="G11" s="22">
        <f>(F11/C11)*100</f>
        <v>14.814814814814813</v>
      </c>
      <c r="H11" s="77">
        <v>49</v>
      </c>
      <c r="I11" s="77">
        <v>4255</v>
      </c>
      <c r="J11" s="77">
        <v>4251</v>
      </c>
      <c r="K11" s="21">
        <f t="shared" ref="K11:K16" si="2">I11-J11</f>
        <v>4</v>
      </c>
      <c r="L11" s="22">
        <f t="shared" ref="L11:L16" si="3">(K11/H11)*100</f>
        <v>8.1632653061224492</v>
      </c>
      <c r="M11" s="77"/>
      <c r="N11" s="77"/>
      <c r="O11" s="77"/>
      <c r="P11" s="21"/>
      <c r="Q11" s="22"/>
      <c r="R11" s="77">
        <v>0.31069999999999998</v>
      </c>
      <c r="S11" s="77">
        <v>0.26</v>
      </c>
      <c r="T11" s="23">
        <f t="shared" ref="T11:T19" si="4">R11*S11</f>
        <v>8.0781999999999993E-2</v>
      </c>
      <c r="AQ11" t="s">
        <v>15</v>
      </c>
      <c r="AR11" s="4">
        <v>1.55</v>
      </c>
      <c r="AS11">
        <f t="shared" si="0"/>
        <v>5.59973026E-2</v>
      </c>
      <c r="AT11" s="6">
        <v>2E-3</v>
      </c>
      <c r="AU11" s="5">
        <f t="shared" si="1"/>
        <v>7.8740199999999995E-5</v>
      </c>
    </row>
    <row r="12" spans="1:49" x14ac:dyDescent="0.25">
      <c r="A12" s="21">
        <v>2</v>
      </c>
      <c r="B12" s="76">
        <f t="shared" ref="B12:B19" si="5">C12+H12</f>
        <v>134</v>
      </c>
      <c r="C12" s="77">
        <v>71</v>
      </c>
      <c r="D12" s="77">
        <v>4275</v>
      </c>
      <c r="E12" s="77">
        <v>4255</v>
      </c>
      <c r="F12" s="21">
        <f t="shared" ref="F12:F19" si="6">D12-E12</f>
        <v>20</v>
      </c>
      <c r="G12" s="22">
        <f t="shared" ref="G12:G19" si="7">(F12/C12)*100</f>
        <v>28.169014084507044</v>
      </c>
      <c r="H12" s="77">
        <v>63</v>
      </c>
      <c r="I12" s="77">
        <v>4255</v>
      </c>
      <c r="J12" s="77">
        <v>4252</v>
      </c>
      <c r="K12" s="21">
        <f t="shared" si="2"/>
        <v>3</v>
      </c>
      <c r="L12" s="22">
        <f t="shared" si="3"/>
        <v>4.7619047619047619</v>
      </c>
      <c r="M12" s="77"/>
      <c r="N12" s="77"/>
      <c r="O12" s="77"/>
      <c r="P12" s="21"/>
      <c r="Q12" s="22"/>
      <c r="R12" s="77">
        <v>0.31059999999999999</v>
      </c>
      <c r="S12" s="77">
        <v>0.16</v>
      </c>
      <c r="T12" s="23">
        <f t="shared" si="4"/>
        <v>4.9695999999999997E-2</v>
      </c>
      <c r="AQ12" t="s">
        <v>14</v>
      </c>
      <c r="AR12" s="4">
        <v>1.55</v>
      </c>
      <c r="AS12">
        <f t="shared" si="0"/>
        <v>5.59973026E-2</v>
      </c>
      <c r="AT12" s="6">
        <v>2.1000000000000001E-2</v>
      </c>
      <c r="AU12" s="5">
        <f t="shared" si="1"/>
        <v>8.2677210000000007E-4</v>
      </c>
    </row>
    <row r="13" spans="1:49" x14ac:dyDescent="0.25">
      <c r="A13" s="21">
        <v>3</v>
      </c>
      <c r="B13" s="76">
        <f t="shared" si="5"/>
        <v>138</v>
      </c>
      <c r="C13" s="77">
        <v>63</v>
      </c>
      <c r="D13" s="77">
        <v>4275</v>
      </c>
      <c r="E13" s="77">
        <v>4262</v>
      </c>
      <c r="F13" s="21">
        <f t="shared" si="6"/>
        <v>13</v>
      </c>
      <c r="G13" s="22">
        <f t="shared" si="7"/>
        <v>20.634920634920633</v>
      </c>
      <c r="H13" s="77">
        <v>75</v>
      </c>
      <c r="I13" s="77">
        <v>4262</v>
      </c>
      <c r="J13" s="77">
        <v>4251</v>
      </c>
      <c r="K13" s="21">
        <f t="shared" si="2"/>
        <v>11</v>
      </c>
      <c r="L13" s="22">
        <f t="shared" si="3"/>
        <v>14.666666666666666</v>
      </c>
      <c r="M13" s="77"/>
      <c r="N13" s="77"/>
      <c r="O13" s="77"/>
      <c r="P13" s="21"/>
      <c r="Q13" s="22"/>
      <c r="R13" s="77">
        <v>0.307</v>
      </c>
      <c r="S13" s="77">
        <v>0.49</v>
      </c>
      <c r="T13" s="23">
        <f t="shared" si="4"/>
        <v>0.15043000000000001</v>
      </c>
      <c r="AQ13" t="s">
        <v>12</v>
      </c>
      <c r="AR13" s="4">
        <v>1.45</v>
      </c>
      <c r="AS13">
        <f t="shared" si="0"/>
        <v>5.2384573399999995E-2</v>
      </c>
      <c r="AT13" s="6">
        <v>2.3999999999999998E-3</v>
      </c>
      <c r="AU13" s="5">
        <f t="shared" si="1"/>
        <v>9.4488239999999984E-5</v>
      </c>
    </row>
    <row r="14" spans="1:49" x14ac:dyDescent="0.25">
      <c r="A14" s="21">
        <v>4</v>
      </c>
      <c r="B14" s="76">
        <f t="shared" si="5"/>
        <v>124</v>
      </c>
      <c r="C14" s="77">
        <v>57</v>
      </c>
      <c r="D14" s="77">
        <v>4275</v>
      </c>
      <c r="E14" s="77">
        <v>4263</v>
      </c>
      <c r="F14" s="21">
        <f t="shared" si="6"/>
        <v>12</v>
      </c>
      <c r="G14" s="22">
        <f t="shared" si="7"/>
        <v>21.052631578947366</v>
      </c>
      <c r="H14" s="77">
        <v>67</v>
      </c>
      <c r="I14" s="77">
        <v>4263</v>
      </c>
      <c r="J14" s="77">
        <v>4252</v>
      </c>
      <c r="K14" s="21">
        <f t="shared" si="2"/>
        <v>11</v>
      </c>
      <c r="L14" s="22">
        <f t="shared" si="3"/>
        <v>16.417910447761194</v>
      </c>
      <c r="M14" s="77"/>
      <c r="N14" s="77"/>
      <c r="O14" s="77"/>
      <c r="P14" s="21"/>
      <c r="Q14" s="22"/>
      <c r="R14" s="77">
        <v>0.30819999999999997</v>
      </c>
      <c r="S14" s="77">
        <v>0.54</v>
      </c>
      <c r="T14" s="23">
        <f t="shared" si="4"/>
        <v>0.16642799999999999</v>
      </c>
      <c r="AQ14" t="s">
        <v>13</v>
      </c>
      <c r="AR14" s="4">
        <v>1.5</v>
      </c>
      <c r="AS14">
        <f t="shared" si="0"/>
        <v>5.4190937999999994E-2</v>
      </c>
      <c r="AT14" s="6">
        <v>8.0000000000000002E-3</v>
      </c>
      <c r="AU14" s="5">
        <f t="shared" si="1"/>
        <v>3.1496079999999998E-4</v>
      </c>
    </row>
    <row r="15" spans="1:49" x14ac:dyDescent="0.25">
      <c r="A15" s="21">
        <v>5</v>
      </c>
      <c r="B15" s="76">
        <f t="shared" si="5"/>
        <v>110</v>
      </c>
      <c r="C15" s="77">
        <v>55</v>
      </c>
      <c r="D15" s="77">
        <v>4275</v>
      </c>
      <c r="E15" s="77">
        <v>4265</v>
      </c>
      <c r="F15" s="21">
        <f t="shared" si="6"/>
        <v>10</v>
      </c>
      <c r="G15" s="22">
        <f t="shared" si="7"/>
        <v>18.181818181818183</v>
      </c>
      <c r="H15" s="77">
        <v>55</v>
      </c>
      <c r="I15" s="77">
        <v>4265</v>
      </c>
      <c r="J15" s="77">
        <v>4260</v>
      </c>
      <c r="K15" s="21">
        <f t="shared" si="2"/>
        <v>5</v>
      </c>
      <c r="L15" s="22">
        <f t="shared" si="3"/>
        <v>9.0909090909090917</v>
      </c>
      <c r="M15" s="77"/>
      <c r="N15" s="77"/>
      <c r="O15" s="77"/>
      <c r="P15" s="21"/>
      <c r="Q15" s="22"/>
      <c r="R15" s="77">
        <v>0.28660000000000002</v>
      </c>
      <c r="S15" s="77">
        <v>0.27</v>
      </c>
      <c r="T15" s="23">
        <f t="shared" si="4"/>
        <v>7.7382000000000006E-2</v>
      </c>
    </row>
    <row r="16" spans="1:49" x14ac:dyDescent="0.25">
      <c r="A16" s="21">
        <v>6</v>
      </c>
      <c r="B16" s="76">
        <f t="shared" si="5"/>
        <v>92</v>
      </c>
      <c r="C16" s="77">
        <v>53</v>
      </c>
      <c r="D16" s="77">
        <v>4275</v>
      </c>
      <c r="E16" s="77">
        <v>4266</v>
      </c>
      <c r="F16" s="21">
        <f t="shared" si="6"/>
        <v>9</v>
      </c>
      <c r="G16" s="22">
        <f t="shared" si="7"/>
        <v>16.981132075471699</v>
      </c>
      <c r="H16" s="77">
        <v>39</v>
      </c>
      <c r="I16" s="77">
        <v>4266</v>
      </c>
      <c r="J16" s="77">
        <v>4263</v>
      </c>
      <c r="K16" s="21">
        <f t="shared" si="2"/>
        <v>3</v>
      </c>
      <c r="L16" s="22">
        <f t="shared" si="3"/>
        <v>7.6923076923076925</v>
      </c>
      <c r="M16" s="77"/>
      <c r="N16" s="77"/>
      <c r="O16" s="77"/>
      <c r="P16" s="21"/>
      <c r="Q16" s="22"/>
      <c r="R16" s="77">
        <v>0.20799999999999999</v>
      </c>
      <c r="S16" s="77">
        <v>0.23</v>
      </c>
      <c r="T16" s="23">
        <f t="shared" si="4"/>
        <v>4.7840000000000001E-2</v>
      </c>
    </row>
    <row r="17" spans="1:20" x14ac:dyDescent="0.25">
      <c r="A17" s="21">
        <v>7</v>
      </c>
      <c r="B17" s="76">
        <f t="shared" si="5"/>
        <v>75</v>
      </c>
      <c r="C17" s="77">
        <v>75</v>
      </c>
      <c r="D17" s="77">
        <v>4273</v>
      </c>
      <c r="E17" s="77">
        <v>4267</v>
      </c>
      <c r="F17" s="21">
        <f t="shared" si="6"/>
        <v>6</v>
      </c>
      <c r="G17" s="22">
        <f t="shared" si="7"/>
        <v>8</v>
      </c>
      <c r="H17" s="77"/>
      <c r="I17" s="77"/>
      <c r="J17" s="77"/>
      <c r="K17" s="21"/>
      <c r="L17" s="22"/>
      <c r="M17" s="77"/>
      <c r="N17" s="77"/>
      <c r="O17" s="77"/>
      <c r="P17" s="21"/>
      <c r="Q17" s="22"/>
      <c r="R17" s="77">
        <v>0.109</v>
      </c>
      <c r="S17" s="77">
        <v>0.21</v>
      </c>
      <c r="T17" s="23">
        <f t="shared" si="4"/>
        <v>2.2890000000000001E-2</v>
      </c>
    </row>
    <row r="18" spans="1:20" x14ac:dyDescent="0.25">
      <c r="A18" s="21">
        <v>8</v>
      </c>
      <c r="B18" s="76">
        <f t="shared" si="5"/>
        <v>63</v>
      </c>
      <c r="C18" s="77">
        <v>63</v>
      </c>
      <c r="D18" s="77">
        <v>4272</v>
      </c>
      <c r="E18" s="77">
        <v>4270</v>
      </c>
      <c r="F18" s="21">
        <f t="shared" si="6"/>
        <v>2</v>
      </c>
      <c r="G18" s="22">
        <f t="shared" si="7"/>
        <v>3.1746031746031744</v>
      </c>
      <c r="H18" s="77"/>
      <c r="I18" s="77"/>
      <c r="J18" s="77"/>
      <c r="K18" s="21"/>
      <c r="L18" s="22"/>
      <c r="M18" s="77"/>
      <c r="N18" s="77"/>
      <c r="O18" s="77"/>
      <c r="P18" s="21"/>
      <c r="Q18" s="22"/>
      <c r="R18" s="77">
        <v>0.10299999999999999</v>
      </c>
      <c r="S18" s="77">
        <v>0.1</v>
      </c>
      <c r="T18" s="23">
        <f t="shared" si="4"/>
        <v>1.03E-2</v>
      </c>
    </row>
    <row r="19" spans="1:20" ht="15.75" thickBot="1" x14ac:dyDescent="0.3">
      <c r="A19" s="24">
        <v>9</v>
      </c>
      <c r="B19" s="78">
        <f t="shared" si="5"/>
        <v>37</v>
      </c>
      <c r="C19" s="78">
        <v>37</v>
      </c>
      <c r="D19" s="78">
        <v>4272</v>
      </c>
      <c r="E19" s="78">
        <v>4272</v>
      </c>
      <c r="F19" s="24">
        <f t="shared" si="6"/>
        <v>0</v>
      </c>
      <c r="G19" s="25">
        <f t="shared" si="7"/>
        <v>0</v>
      </c>
      <c r="H19" s="78"/>
      <c r="I19" s="78"/>
      <c r="J19" s="78"/>
      <c r="K19" s="24"/>
      <c r="L19" s="25"/>
      <c r="M19" s="78"/>
      <c r="N19" s="78"/>
      <c r="O19" s="78"/>
      <c r="P19" s="24"/>
      <c r="Q19" s="25"/>
      <c r="R19" s="78">
        <v>8.7599999999999997E-2</v>
      </c>
      <c r="S19" s="78">
        <v>1E-3</v>
      </c>
      <c r="T19" s="26">
        <f t="shared" si="4"/>
        <v>8.7600000000000002E-5</v>
      </c>
    </row>
    <row r="20" spans="1:20" ht="15.75" thickBot="1" x14ac:dyDescent="0.3">
      <c r="A20" s="27" t="s">
        <v>54</v>
      </c>
      <c r="B20" s="27"/>
      <c r="C20" s="27"/>
      <c r="D20" s="27"/>
      <c r="E20" s="27"/>
      <c r="F20" s="27"/>
      <c r="G20" s="27"/>
      <c r="H20" s="27"/>
      <c r="I20" s="27"/>
      <c r="J20" s="27"/>
      <c r="K20" s="27"/>
      <c r="L20" s="27"/>
      <c r="M20" s="27"/>
      <c r="N20" s="27"/>
      <c r="O20" s="27"/>
      <c r="P20" s="27"/>
      <c r="Q20" s="28"/>
      <c r="R20" s="29">
        <f>SUM(R11:R19)</f>
        <v>2.0306999999999999</v>
      </c>
      <c r="S20" s="30"/>
      <c r="T20" s="31">
        <f>SUM(T11:T19)</f>
        <v>0.60583559999999992</v>
      </c>
    </row>
  </sheetData>
  <sheetProtection sheet="1" objects="1" scenarios="1" formatCells="0" formatColumns="0" formatRows="0" insertColumns="0" insertRows="0" deleteRows="0"/>
  <sortState ref="AQ3:AU14">
    <sortCondition ref="AQ3"/>
  </sortState>
  <mergeCells count="10">
    <mergeCell ref="C2:D2"/>
    <mergeCell ref="C3:D3"/>
    <mergeCell ref="A9:R9"/>
    <mergeCell ref="S9:T9"/>
    <mergeCell ref="A1:B1"/>
    <mergeCell ref="A2:B2"/>
    <mergeCell ref="A3:B3"/>
    <mergeCell ref="C1:D1"/>
    <mergeCell ref="F2:R4"/>
    <mergeCell ref="F1:N1"/>
  </mergeCells>
  <dataValidations count="2">
    <dataValidation type="list" allowBlank="1" showInputMessage="1" showErrorMessage="1" sqref="C2">
      <formula1>$AQ$3:$AQ$14</formula1>
    </dataValidation>
    <dataValidation type="list" allowBlank="1" showInputMessage="1" showErrorMessage="1" sqref="C3:D3">
      <formula1>$AM$3:$AM$7</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68"/>
  <sheetViews>
    <sheetView topLeftCell="A25" zoomScaleNormal="100" workbookViewId="0">
      <selection activeCell="K18" sqref="K18"/>
    </sheetView>
  </sheetViews>
  <sheetFormatPr defaultRowHeight="15" x14ac:dyDescent="0.25"/>
  <cols>
    <col min="1" max="1" width="26" customWidth="1"/>
    <col min="2" max="2" width="10.28515625" customWidth="1"/>
    <col min="4" max="4" width="9.140625" customWidth="1"/>
    <col min="6" max="6" width="9.140625" customWidth="1"/>
    <col min="9" max="9" width="9" customWidth="1"/>
    <col min="10" max="10" width="9.140625" customWidth="1"/>
    <col min="15" max="15" width="9.85546875" customWidth="1"/>
    <col min="40" max="40" width="9.5703125" customWidth="1"/>
    <col min="46" max="46" width="15.7109375" hidden="1" customWidth="1"/>
    <col min="47" max="47" width="7" hidden="1" customWidth="1"/>
    <col min="48" max="48" width="12" hidden="1" customWidth="1"/>
    <col min="49" max="49" width="9.140625" hidden="1" customWidth="1"/>
    <col min="50" max="50" width="9.140625" style="33" hidden="1" customWidth="1"/>
    <col min="51" max="51" width="8.28515625" hidden="1" customWidth="1"/>
    <col min="52" max="52" width="15.7109375" hidden="1" customWidth="1"/>
    <col min="53" max="53" width="18.5703125" hidden="1" customWidth="1"/>
    <col min="54" max="54" width="26.7109375" hidden="1" customWidth="1"/>
    <col min="55" max="55" width="9.140625" hidden="1" customWidth="1"/>
    <col min="56" max="56" width="9.140625" customWidth="1"/>
    <col min="61" max="61" width="10.140625" hidden="1" customWidth="1"/>
    <col min="62" max="71" width="0" hidden="1" customWidth="1"/>
  </cols>
  <sheetData>
    <row r="1" spans="1:71" ht="30" x14ac:dyDescent="0.25">
      <c r="A1" s="79" t="s">
        <v>32</v>
      </c>
      <c r="B1" s="55">
        <v>0.1</v>
      </c>
      <c r="C1" s="80"/>
      <c r="D1" s="81"/>
      <c r="E1" s="81"/>
      <c r="F1" s="81"/>
      <c r="G1" s="81"/>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t="s">
        <v>16</v>
      </c>
      <c r="AV1" s="9" t="s">
        <v>58</v>
      </c>
      <c r="AW1" s="32" t="s">
        <v>26</v>
      </c>
      <c r="AX1" s="38" t="s">
        <v>59</v>
      </c>
      <c r="AY1" s="9" t="s">
        <v>60</v>
      </c>
      <c r="AZ1" s="168" t="s">
        <v>95</v>
      </c>
      <c r="BA1" s="168"/>
      <c r="BB1" s="46" t="s">
        <v>96</v>
      </c>
      <c r="BC1" s="9" t="s">
        <v>63</v>
      </c>
      <c r="BD1" s="9"/>
      <c r="BE1" s="9"/>
      <c r="BF1" s="9"/>
      <c r="BG1" s="9"/>
      <c r="BH1" s="9"/>
      <c r="BI1" s="49">
        <v>0.5</v>
      </c>
      <c r="BJ1" s="9"/>
      <c r="BK1" s="9"/>
      <c r="BL1" s="9"/>
      <c r="BM1" s="9"/>
      <c r="BN1" s="9"/>
      <c r="BO1" s="9"/>
      <c r="BP1" s="9" t="s">
        <v>61</v>
      </c>
      <c r="BQ1" s="9"/>
      <c r="BR1" s="9"/>
      <c r="BS1" s="9"/>
    </row>
    <row r="2" spans="1:71" ht="30" x14ac:dyDescent="0.25">
      <c r="A2" s="79" t="s">
        <v>76</v>
      </c>
      <c r="B2" s="56">
        <v>0.65</v>
      </c>
      <c r="C2" s="80"/>
      <c r="D2" s="81"/>
      <c r="E2" s="81"/>
      <c r="F2" s="81"/>
      <c r="G2" s="81"/>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32"/>
      <c r="AX2" s="38"/>
      <c r="AY2" s="9"/>
      <c r="AZ2" s="47"/>
      <c r="BA2" s="47"/>
      <c r="BB2" s="48"/>
      <c r="BC2" s="9"/>
      <c r="BD2" s="9"/>
      <c r="BE2" s="9"/>
      <c r="BF2" s="9"/>
      <c r="BG2" s="9"/>
      <c r="BH2" s="9"/>
      <c r="BI2" s="49">
        <v>0.55000000000000004</v>
      </c>
      <c r="BJ2" s="9"/>
      <c r="BK2" s="9"/>
      <c r="BL2" s="9"/>
      <c r="BM2" s="9"/>
      <c r="BN2" s="9"/>
      <c r="BO2" s="9"/>
      <c r="BP2" s="9"/>
      <c r="BQ2" s="9"/>
      <c r="BR2" s="9"/>
      <c r="BS2" s="9"/>
    </row>
    <row r="3" spans="1:71" ht="30" x14ac:dyDescent="0.25">
      <c r="A3" s="79" t="s">
        <v>30</v>
      </c>
      <c r="B3" s="57">
        <v>11.39</v>
      </c>
      <c r="C3" s="80"/>
      <c r="D3" s="80"/>
      <c r="E3" s="80"/>
      <c r="F3" s="80"/>
      <c r="G3" s="80"/>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t="s">
        <v>4</v>
      </c>
      <c r="AU3" s="13">
        <f>'BMP Selection'!AR3*62.4</f>
        <v>87.36</v>
      </c>
      <c r="AV3" s="14">
        <f>'BMP Selection'!AU3/12</f>
        <v>8.8582724999999993E-6</v>
      </c>
      <c r="AW3" s="13">
        <v>3</v>
      </c>
      <c r="AX3" s="35">
        <v>6.5599999999999999E-6</v>
      </c>
      <c r="AY3" s="14">
        <v>6.5599999999999995E-5</v>
      </c>
      <c r="AZ3" s="35">
        <v>1.31E-5</v>
      </c>
      <c r="BA3" s="14">
        <v>1.31E-3</v>
      </c>
      <c r="BB3" s="36">
        <f t="shared" ref="BB3:BB10" si="0">(((AV3-AY3)*(AZ3-BA3))/(AX3-AY3))+BA3</f>
        <v>6.3584918788109606E-5</v>
      </c>
      <c r="BC3" s="32">
        <f>BB3*60</f>
        <v>3.8150951272865764E-3</v>
      </c>
      <c r="BD3" s="9"/>
      <c r="BE3" s="9"/>
      <c r="BF3" s="9"/>
      <c r="BG3" s="9"/>
      <c r="BH3" s="9"/>
      <c r="BI3" s="49">
        <v>0.6</v>
      </c>
      <c r="BJ3" s="9"/>
      <c r="BK3" s="9"/>
      <c r="BL3" s="9"/>
      <c r="BM3" s="9"/>
      <c r="BN3" s="9"/>
      <c r="BO3" s="9">
        <v>8.8582724999999993E-6</v>
      </c>
      <c r="BP3" s="9">
        <v>4.1964372256097712E-5</v>
      </c>
      <c r="BQ3" s="9">
        <v>0</v>
      </c>
      <c r="BR3" s="9"/>
      <c r="BS3" s="9"/>
    </row>
    <row r="4" spans="1:71" ht="30" x14ac:dyDescent="0.25">
      <c r="A4" s="82" t="s">
        <v>29</v>
      </c>
      <c r="B4" s="59">
        <f>B1/B3</f>
        <v>8.7796312554872698E-3</v>
      </c>
      <c r="C4" s="80"/>
      <c r="D4" s="80"/>
      <c r="E4" s="80"/>
      <c r="F4" s="80"/>
      <c r="G4" s="80"/>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t="s">
        <v>10</v>
      </c>
      <c r="AU4" s="13">
        <f>'BMP Selection'!AR4*62.4</f>
        <v>102.96</v>
      </c>
      <c r="AV4" s="14">
        <f>'BMP Selection'!AU4/12</f>
        <v>2.9527574999999997E-5</v>
      </c>
      <c r="AW4" s="13">
        <v>5</v>
      </c>
      <c r="AX4" s="35">
        <v>6.5599999999999999E-6</v>
      </c>
      <c r="AY4" s="14">
        <v>6.5599999999999995E-5</v>
      </c>
      <c r="AZ4" s="35">
        <v>1.31E-5</v>
      </c>
      <c r="BA4" s="14">
        <v>1.31E-3</v>
      </c>
      <c r="BB4" s="36">
        <f t="shared" si="0"/>
        <v>5.1761639596036588E-4</v>
      </c>
      <c r="BC4" s="32">
        <f t="shared" ref="BC4:BC14" si="1">BB4*60</f>
        <v>3.1056983757621955E-2</v>
      </c>
      <c r="BD4" s="9"/>
      <c r="BE4" s="9"/>
      <c r="BF4" s="9"/>
      <c r="BG4" s="9"/>
      <c r="BH4" s="9"/>
      <c r="BI4" s="49">
        <v>0.65</v>
      </c>
      <c r="BJ4" s="9"/>
      <c r="BK4" s="9"/>
      <c r="BL4" s="9"/>
      <c r="BM4" s="9"/>
      <c r="BN4" s="9"/>
      <c r="BO4" s="9">
        <v>2.9527574999999997E-5</v>
      </c>
      <c r="BP4" s="9">
        <v>6.3584918788109606E-5</v>
      </c>
      <c r="BQ4" s="9">
        <v>0</v>
      </c>
      <c r="BR4" s="9"/>
      <c r="BS4" s="9"/>
    </row>
    <row r="5" spans="1:71" x14ac:dyDescent="0.25">
      <c r="A5" s="82" t="s">
        <v>33</v>
      </c>
      <c r="B5" s="60" t="str">
        <f>'BMP Selection'!$C$2</f>
        <v>Silt Loam</v>
      </c>
      <c r="C5" s="80"/>
      <c r="D5" s="80"/>
      <c r="E5" s="80"/>
      <c r="F5" s="80"/>
      <c r="G5" s="80"/>
      <c r="H5" s="9"/>
      <c r="I5" s="11"/>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t="s">
        <v>11</v>
      </c>
      <c r="AU5" s="13">
        <f>'BMP Selection'!AR5*62.4</f>
        <v>106.08</v>
      </c>
      <c r="AV5" s="14">
        <f>'BMP Selection'!AU5/12</f>
        <v>1.4107619166666666E-4</v>
      </c>
      <c r="AW5" s="13">
        <v>7</v>
      </c>
      <c r="AX5" s="35">
        <v>6.5599999999999995E-5</v>
      </c>
      <c r="AY5" s="14">
        <v>1.64E-4</v>
      </c>
      <c r="AZ5" s="35">
        <v>1.31E-3</v>
      </c>
      <c r="BA5" s="14">
        <v>8.2000000000000007E-3</v>
      </c>
      <c r="BB5" s="36">
        <f t="shared" si="0"/>
        <v>6.5948674856029814E-3</v>
      </c>
      <c r="BC5" s="32">
        <f t="shared" si="1"/>
        <v>0.39569204913617889</v>
      </c>
      <c r="BD5" s="9"/>
      <c r="BE5" s="9"/>
      <c r="BF5" s="9"/>
      <c r="BG5" s="9"/>
      <c r="BH5" s="9"/>
      <c r="BI5" s="49">
        <v>0.7</v>
      </c>
      <c r="BJ5" s="9"/>
      <c r="BK5" s="9"/>
      <c r="BL5" s="9"/>
      <c r="BM5" s="9"/>
      <c r="BN5" s="9"/>
      <c r="BO5" s="9">
        <v>1.4107619166666666E-4</v>
      </c>
      <c r="BP5" s="9">
        <v>4.4554790752032508E-4</v>
      </c>
      <c r="BQ5" s="9">
        <v>0.09</v>
      </c>
      <c r="BR5" s="9"/>
      <c r="BS5" s="9"/>
    </row>
    <row r="6" spans="1:71" x14ac:dyDescent="0.25">
      <c r="A6" s="77" t="s">
        <v>142</v>
      </c>
      <c r="B6" s="63">
        <f>IF($B$5="clay",AU2,IF($B$5="clay loam",AU3,IF($B$5="Loam",AU4,IF($B$5="Loamy Sand",AU5,IF($B$5="Sand",AU6,IF($B$5="Sandy Clay",AU7,IF($B$5="Sandy Clay Loam",AU8,IF($B$5="Sandy Loam",AU9,IF($B$5="silt",AU10,IF($B$5="Silt Loam",AU11,IF($B$5="Silty Clay",AU12,IF($B$5="Silty Clay Loam",AU13,100))))))))))))</f>
        <v>96.72</v>
      </c>
      <c r="C6" s="83"/>
      <c r="D6" s="80"/>
      <c r="E6" s="80"/>
      <c r="F6" s="80"/>
      <c r="G6" s="80"/>
      <c r="H6" s="9"/>
      <c r="I6" s="37"/>
      <c r="J6" s="34"/>
      <c r="K6" s="9"/>
      <c r="L6" s="14"/>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t="s">
        <v>8</v>
      </c>
      <c r="AU6" s="13">
        <f>'BMP Selection'!AR6*62.4</f>
        <v>112.32</v>
      </c>
      <c r="AV6" s="14">
        <f>'BMP Selection'!AU6/12</f>
        <v>1.181103E-3</v>
      </c>
      <c r="AW6" s="13">
        <v>12</v>
      </c>
      <c r="AX6" s="35">
        <v>4.0299999999999997E-3</v>
      </c>
      <c r="AY6" s="14">
        <v>3.2799999999999999E-3</v>
      </c>
      <c r="AZ6" s="35">
        <v>0.121</v>
      </c>
      <c r="BA6" s="14">
        <v>0.22600000000000001</v>
      </c>
      <c r="BB6" s="36">
        <f t="shared" si="0"/>
        <v>0.51984558000000014</v>
      </c>
      <c r="BC6" s="32">
        <f t="shared" si="1"/>
        <v>31.190734800000008</v>
      </c>
      <c r="BD6" s="9"/>
      <c r="BE6" s="9"/>
      <c r="BF6" s="9"/>
      <c r="BG6" s="9"/>
      <c r="BH6" s="9"/>
      <c r="BI6" s="49">
        <v>0.75</v>
      </c>
      <c r="BJ6" s="9"/>
      <c r="BK6" s="9"/>
      <c r="BL6" s="9"/>
      <c r="BM6" s="9"/>
      <c r="BN6" s="9"/>
      <c r="BO6" s="9">
        <v>1.181103E-3</v>
      </c>
      <c r="BP6" s="9">
        <v>5.1761639596036588E-4</v>
      </c>
      <c r="BQ6" s="9">
        <v>0.1</v>
      </c>
      <c r="BR6" s="9"/>
      <c r="BS6" s="9"/>
    </row>
    <row r="7" spans="1:71" x14ac:dyDescent="0.25">
      <c r="A7" s="82" t="s">
        <v>19</v>
      </c>
      <c r="B7" s="62">
        <f>IF($B$5="clay",AV3,IF($B$5="clay loam",AV4,IF($B$5="Loam",AV5,IF($B$5="Loamy Sand",AV6,IF($B$5="Sand",AV7,IF($B$5="Sandy Clay",AV8,IF($B$5="Sandy Clay Loam",AV9,IF($B$5="Sandy Loam",AV10,IF($B$5="silt",AV11,IF($B$5="Silt Loam",AV12,IF($B$5="Silty Clay",AV13,IF($B$5="Silty Clay Loam",AV14,"Please See Below For More Instructions"))))))))))))</f>
        <v>6.8897675000000001E-5</v>
      </c>
      <c r="C7" s="80"/>
      <c r="D7" s="80" t="s">
        <v>25</v>
      </c>
      <c r="E7" s="80"/>
      <c r="F7" s="80"/>
      <c r="G7" s="80"/>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t="s">
        <v>9</v>
      </c>
      <c r="AU7" s="13">
        <f>'BMP Selection'!AR7*62.4</f>
        <v>112.32</v>
      </c>
      <c r="AV7" s="14">
        <f>'BMP Selection'!AU7/12</f>
        <v>9.5144408333333326E-4</v>
      </c>
      <c r="AW7" s="13">
        <v>11</v>
      </c>
      <c r="AX7" s="35">
        <v>3.28E-4</v>
      </c>
      <c r="AY7" s="14">
        <v>1.0300000000000001E-3</v>
      </c>
      <c r="AZ7" s="35">
        <v>4.5900000000000003E-2</v>
      </c>
      <c r="BA7" s="14">
        <v>0.121</v>
      </c>
      <c r="BB7" s="36">
        <f t="shared" si="0"/>
        <v>0.11259608355887937</v>
      </c>
      <c r="BC7" s="32">
        <f t="shared" si="1"/>
        <v>6.7557650135327627</v>
      </c>
      <c r="BD7" s="9"/>
      <c r="BE7" s="9"/>
      <c r="BF7" s="9"/>
      <c r="BG7" s="9"/>
      <c r="BH7" s="9"/>
      <c r="BI7" s="49">
        <v>0.8</v>
      </c>
      <c r="BJ7" s="9"/>
      <c r="BK7" s="9"/>
      <c r="BL7" s="9"/>
      <c r="BM7" s="9"/>
      <c r="BN7" s="9"/>
      <c r="BO7" s="9">
        <v>9.5144408333333326E-4</v>
      </c>
      <c r="BP7" s="9">
        <v>1.5409042759146349E-3</v>
      </c>
      <c r="BQ7" s="9">
        <v>0.17</v>
      </c>
      <c r="BR7" s="9"/>
      <c r="BS7" s="9"/>
    </row>
    <row r="8" spans="1:71" ht="30" x14ac:dyDescent="0.25">
      <c r="A8" s="82" t="s">
        <v>104</v>
      </c>
      <c r="B8" s="66">
        <f>('BMP Selection'!C1*2000)/'Detention Pond'!B6</f>
        <v>983.91232423490487</v>
      </c>
      <c r="C8" s="80"/>
      <c r="D8" s="80"/>
      <c r="E8" s="80"/>
      <c r="F8" s="80"/>
      <c r="G8" s="80"/>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t="s">
        <v>5</v>
      </c>
      <c r="AU8" s="13">
        <f>'BMP Selection'!AR8*62.4</f>
        <v>99.84</v>
      </c>
      <c r="AV8" s="14">
        <f>'BMP Selection'!AU8/12</f>
        <v>6.5616833333333343E-4</v>
      </c>
      <c r="AW8" s="13">
        <v>8</v>
      </c>
      <c r="AX8" s="35">
        <v>3.28E-4</v>
      </c>
      <c r="AY8" s="14">
        <v>1.0300000000000001E-3</v>
      </c>
      <c r="AZ8" s="35">
        <v>4.5900000000000003E-2</v>
      </c>
      <c r="BA8" s="14">
        <v>0.121</v>
      </c>
      <c r="BB8" s="36">
        <f t="shared" si="0"/>
        <v>8.1007466999050343E-2</v>
      </c>
      <c r="BC8" s="32">
        <f t="shared" si="1"/>
        <v>4.8604480199430204</v>
      </c>
      <c r="BD8" s="9"/>
      <c r="BE8" s="9"/>
      <c r="BF8" s="9"/>
      <c r="BG8" s="9"/>
      <c r="BH8" s="9"/>
      <c r="BI8" s="49">
        <v>0.85</v>
      </c>
      <c r="BJ8" s="9"/>
      <c r="BK8" s="9"/>
      <c r="BL8" s="9"/>
      <c r="BM8" s="9"/>
      <c r="BN8" s="9"/>
      <c r="BO8" s="9">
        <v>6.5616833333333343E-4</v>
      </c>
      <c r="BP8" s="9">
        <v>6.5948674856029814E-3</v>
      </c>
      <c r="BQ8" s="9">
        <v>0.25</v>
      </c>
      <c r="BR8" s="9"/>
      <c r="BS8" s="9"/>
    </row>
    <row r="9" spans="1:71" x14ac:dyDescent="0.25">
      <c r="A9" s="82" t="s">
        <v>71</v>
      </c>
      <c r="B9" s="66">
        <f>((0.2*((0.0988*LN(B4)+0.8986)))+(0.8*(IF((((6000000000000000000*(B7^6))-(20000000000000000*(B7^5))+(20000000000000*(B7^4))-(6000000000*(B7^3))+(1000000*(B7^2))-(34.236*B7)+(0.5004))&gt;=0.9),(0.9),(((6000000000000000000*(B7^6))-(20000000000000000*(B7^5))+(20000000000000*(B7^4))-(6000000000*(B7^3))+(1000000*(B7^2))-(34.236*B7)+0.5004))))))</f>
        <v>0.48714690958929485</v>
      </c>
      <c r="C9" s="84" t="s">
        <v>57</v>
      </c>
      <c r="D9" s="167" t="s">
        <v>56</v>
      </c>
      <c r="E9" s="167"/>
      <c r="F9" s="85"/>
      <c r="G9" s="80"/>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t="s">
        <v>6</v>
      </c>
      <c r="AU9" s="13">
        <f>'BMP Selection'!AR9*62.4</f>
        <v>106.08</v>
      </c>
      <c r="AV9" s="14">
        <f>'BMP Selection'!AU9/12</f>
        <v>6.5616833333333343E-4</v>
      </c>
      <c r="AW9" s="13">
        <v>9</v>
      </c>
      <c r="AX9" s="35">
        <v>3.28E-4</v>
      </c>
      <c r="AY9" s="14">
        <v>1.0300000000000001E-3</v>
      </c>
      <c r="AZ9" s="35">
        <v>4.5900000000000003E-2</v>
      </c>
      <c r="BA9" s="14">
        <v>0.121</v>
      </c>
      <c r="BB9" s="36">
        <f t="shared" si="0"/>
        <v>8.1007466999050343E-2</v>
      </c>
      <c r="BC9" s="32">
        <f t="shared" si="1"/>
        <v>4.8604480199430204</v>
      </c>
      <c r="BD9" s="9"/>
      <c r="BE9" s="9"/>
      <c r="BF9" s="9"/>
      <c r="BG9" s="9"/>
      <c r="BH9" s="9"/>
      <c r="BI9" s="49">
        <v>0.9</v>
      </c>
      <c r="BJ9" s="9"/>
      <c r="BK9" s="9"/>
      <c r="BL9" s="9"/>
      <c r="BM9" s="9"/>
      <c r="BN9" s="9"/>
      <c r="BO9" s="9">
        <v>6.5616833333333343E-4</v>
      </c>
      <c r="BP9" s="9">
        <v>8.1007466999050343E-2</v>
      </c>
      <c r="BQ9" s="9">
        <v>0.4</v>
      </c>
      <c r="BR9" s="9"/>
      <c r="BS9" s="9"/>
    </row>
    <row r="10" spans="1:71" ht="30" x14ac:dyDescent="0.25">
      <c r="A10" s="82" t="s">
        <v>105</v>
      </c>
      <c r="B10" s="67">
        <f>B8*B9</f>
        <v>479.30984805785414</v>
      </c>
      <c r="C10" s="80"/>
      <c r="D10" s="80"/>
      <c r="E10" s="80"/>
      <c r="F10" s="80"/>
      <c r="G10" s="80"/>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t="s">
        <v>7</v>
      </c>
      <c r="AU10" s="13">
        <f>'BMP Selection'!AR10*62.4</f>
        <v>109.2</v>
      </c>
      <c r="AV10" s="14">
        <f>'BMP Selection'!AU10/12</f>
        <v>8.5301883333333331E-4</v>
      </c>
      <c r="AW10" s="13">
        <v>10</v>
      </c>
      <c r="AX10" s="35">
        <v>3.28E-4</v>
      </c>
      <c r="AY10" s="14">
        <v>1.0300000000000001E-3</v>
      </c>
      <c r="AZ10" s="35">
        <v>4.5900000000000003E-2</v>
      </c>
      <c r="BA10" s="14">
        <v>0.121</v>
      </c>
      <c r="BB10" s="36">
        <f t="shared" si="0"/>
        <v>0.10206654470560303</v>
      </c>
      <c r="BC10" s="32">
        <f t="shared" si="1"/>
        <v>6.1239926823361817</v>
      </c>
      <c r="BD10" s="9"/>
      <c r="BE10" s="9"/>
      <c r="BF10" s="9"/>
      <c r="BG10" s="9"/>
      <c r="BH10" s="9"/>
      <c r="BI10" s="49">
        <v>0.95</v>
      </c>
      <c r="BJ10" s="9"/>
      <c r="BK10" s="9"/>
      <c r="BL10" s="9"/>
      <c r="BM10" s="9"/>
      <c r="BN10" s="9"/>
      <c r="BO10" s="9">
        <v>8.5301883333333331E-4</v>
      </c>
      <c r="BP10" s="9">
        <v>8.1007466999050343E-2</v>
      </c>
      <c r="BQ10" s="9">
        <v>0.4</v>
      </c>
      <c r="BR10" s="9"/>
      <c r="BS10" s="9"/>
    </row>
    <row r="11" spans="1:71" ht="30" x14ac:dyDescent="0.25">
      <c r="A11" s="82" t="s">
        <v>73</v>
      </c>
      <c r="B11" s="65">
        <f>IF((B1*B2)/(B10/43560)&gt;50,"&gt;50",(B1*B2)/(B10/43560))</f>
        <v>5.907243532493081</v>
      </c>
      <c r="C11" s="80"/>
      <c r="D11" s="169"/>
      <c r="E11" s="169"/>
      <c r="F11" s="169"/>
      <c r="G11" s="16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t="s">
        <v>15</v>
      </c>
      <c r="AU11" s="13">
        <f>'BMP Selection'!AR11*62.4</f>
        <v>96.72</v>
      </c>
      <c r="AV11" s="14">
        <f>'BMP Selection'!AU11/12</f>
        <v>6.5616833333333327E-6</v>
      </c>
      <c r="AW11" s="13">
        <v>1</v>
      </c>
      <c r="AX11" s="38"/>
      <c r="AY11" s="9"/>
      <c r="AZ11" s="35">
        <v>1.31E-5</v>
      </c>
      <c r="BA11" s="9"/>
      <c r="BB11" s="36">
        <v>8.1000000000000003E-2</v>
      </c>
      <c r="BC11" s="32">
        <f t="shared" si="1"/>
        <v>4.8600000000000003</v>
      </c>
      <c r="BD11" s="9"/>
      <c r="BE11" s="9"/>
      <c r="BF11" s="9"/>
      <c r="BG11" s="9"/>
      <c r="BH11" s="9"/>
      <c r="BI11" s="49">
        <v>1</v>
      </c>
      <c r="BJ11" s="9"/>
      <c r="BK11" s="9"/>
      <c r="BL11" s="9"/>
      <c r="BM11" s="9"/>
      <c r="BN11" s="9"/>
      <c r="BO11" s="9">
        <v>6.5616833333333327E-6</v>
      </c>
      <c r="BP11" s="9">
        <v>0.10206654470560303</v>
      </c>
      <c r="BQ11" s="9">
        <v>0.45</v>
      </c>
      <c r="BR11" s="9"/>
      <c r="BS11" s="9"/>
    </row>
    <row r="12" spans="1:71" x14ac:dyDescent="0.25">
      <c r="A12" s="86"/>
      <c r="B12" s="80"/>
      <c r="C12" s="80"/>
      <c r="D12" s="80"/>
      <c r="E12" s="80"/>
      <c r="F12" s="80"/>
      <c r="G12" s="80"/>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t="s">
        <v>14</v>
      </c>
      <c r="AU12" s="13">
        <f>'BMP Selection'!AR12*62.4</f>
        <v>96.72</v>
      </c>
      <c r="AV12" s="14">
        <f>'BMP Selection'!AU12/12</f>
        <v>6.8897675000000001E-5</v>
      </c>
      <c r="AW12" s="13">
        <v>6</v>
      </c>
      <c r="AX12" s="35">
        <v>6.5599999999999995E-5</v>
      </c>
      <c r="AY12" s="14">
        <v>1.64E-4</v>
      </c>
      <c r="AZ12" s="35">
        <v>1.31E-3</v>
      </c>
      <c r="BA12" s="14">
        <v>8.2000000000000007E-3</v>
      </c>
      <c r="BB12" s="36">
        <f>(((AV12-AY12)*(AZ12-BA12))/(AX12-AY12))+BA12</f>
        <v>1.5409042759146349E-3</v>
      </c>
      <c r="BC12" s="32">
        <f t="shared" si="1"/>
        <v>9.24542565548781E-2</v>
      </c>
      <c r="BD12" s="9"/>
      <c r="BE12" s="9"/>
      <c r="BF12" s="9"/>
      <c r="BG12" s="9"/>
      <c r="BH12" s="9"/>
      <c r="BI12" s="9"/>
      <c r="BJ12" s="9"/>
      <c r="BK12" s="9"/>
      <c r="BL12" s="9"/>
      <c r="BM12" s="9"/>
      <c r="BN12" s="9"/>
      <c r="BO12" s="9">
        <v>6.8897675000000001E-5</v>
      </c>
      <c r="BP12" s="9">
        <v>0.11259608355887937</v>
      </c>
      <c r="BQ12" s="9">
        <v>0.47</v>
      </c>
      <c r="BR12" s="9"/>
      <c r="BS12" s="9"/>
    </row>
    <row r="13" spans="1:71" x14ac:dyDescent="0.25">
      <c r="A13" s="80"/>
      <c r="B13" s="87" t="s">
        <v>28</v>
      </c>
      <c r="C13" s="80" t="s">
        <v>27</v>
      </c>
      <c r="D13" s="80"/>
      <c r="E13" s="80"/>
      <c r="F13" s="80"/>
      <c r="G13" s="80"/>
      <c r="H13" s="9"/>
      <c r="I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t="s">
        <v>12</v>
      </c>
      <c r="AU13" s="13">
        <f>'BMP Selection'!AR13*62.4</f>
        <v>90.47999999999999</v>
      </c>
      <c r="AV13" s="14">
        <f>'BMP Selection'!AU13/12</f>
        <v>7.8740199999999992E-6</v>
      </c>
      <c r="AW13" s="13">
        <v>2</v>
      </c>
      <c r="AX13" s="35">
        <v>6.5599999999999999E-6</v>
      </c>
      <c r="AY13" s="14">
        <v>6.5599999999999995E-5</v>
      </c>
      <c r="AZ13" s="35">
        <v>1.31E-5</v>
      </c>
      <c r="BA13" s="14">
        <v>1.31E-3</v>
      </c>
      <c r="BB13" s="36">
        <f>(((AV13-AY13)*(AZ13-BA13))/(AX13-AY13))+BA13</f>
        <v>4.1964372256097712E-5</v>
      </c>
      <c r="BC13" s="32">
        <f t="shared" si="1"/>
        <v>2.5178623353658627E-3</v>
      </c>
      <c r="BD13" s="9"/>
      <c r="BE13" s="9"/>
      <c r="BF13" s="9"/>
      <c r="BG13" s="9"/>
      <c r="BH13" s="9"/>
      <c r="BI13" s="9"/>
      <c r="BJ13" s="9"/>
      <c r="BK13" s="9"/>
      <c r="BL13" s="9"/>
      <c r="BM13" s="9"/>
      <c r="BN13" s="9"/>
      <c r="BO13" s="9">
        <v>7.8740199999999992E-6</v>
      </c>
      <c r="BP13" s="9">
        <v>0.51984558000000014</v>
      </c>
      <c r="BQ13" s="9">
        <v>0.9</v>
      </c>
      <c r="BR13" s="9"/>
      <c r="BS13" s="9"/>
    </row>
    <row r="14" spans="1:71" ht="15.75" thickBot="1" x14ac:dyDescent="0.3">
      <c r="A14" s="80"/>
      <c r="B14" s="80">
        <v>1E-4</v>
      </c>
      <c r="C14" s="80">
        <v>1E-4</v>
      </c>
      <c r="D14" s="80"/>
      <c r="E14" s="80"/>
      <c r="F14" s="80"/>
      <c r="G14" s="80"/>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t="s">
        <v>13</v>
      </c>
      <c r="AU14" s="13">
        <f>'BMP Selection'!AR14*62.4</f>
        <v>93.6</v>
      </c>
      <c r="AV14" s="14">
        <f>'BMP Selection'!AU14/12</f>
        <v>2.6246733333333331E-5</v>
      </c>
      <c r="AW14" s="13">
        <v>4</v>
      </c>
      <c r="AX14" s="35">
        <v>6.5599999999999999E-6</v>
      </c>
      <c r="AY14" s="14">
        <v>6.5599999999999995E-5</v>
      </c>
      <c r="AZ14" s="35">
        <v>1.31E-5</v>
      </c>
      <c r="BA14" s="14">
        <v>1.31E-3</v>
      </c>
      <c r="BB14" s="39">
        <f>(((AV14-AY14)*(AZ14-BA14))/(AX14-AY14))+BA14</f>
        <v>4.4554790752032508E-4</v>
      </c>
      <c r="BC14" s="32">
        <f t="shared" si="1"/>
        <v>2.6732874451219503E-2</v>
      </c>
      <c r="BD14" s="9"/>
      <c r="BE14" s="9"/>
      <c r="BF14" s="9"/>
      <c r="BG14" s="9"/>
      <c r="BH14" s="9"/>
      <c r="BI14" s="9"/>
      <c r="BJ14" s="9"/>
      <c r="BK14" s="9"/>
      <c r="BL14" s="9"/>
      <c r="BM14" s="9"/>
      <c r="BN14" s="9"/>
      <c r="BO14" s="9">
        <v>2.6246733333333331E-5</v>
      </c>
      <c r="BP14" s="9"/>
      <c r="BQ14" s="9"/>
      <c r="BR14" s="9"/>
      <c r="BS14" s="9"/>
    </row>
    <row r="15" spans="1:71" x14ac:dyDescent="0.25">
      <c r="A15" s="80"/>
      <c r="B15" s="80">
        <v>1E-3</v>
      </c>
      <c r="C15" s="80">
        <f>0.1*LN(B15)+0.9</f>
        <v>0.2092244721017863</v>
      </c>
      <c r="D15" s="80"/>
      <c r="E15" s="80"/>
      <c r="F15" s="80"/>
      <c r="G15" s="80"/>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10"/>
      <c r="AV15" s="9"/>
      <c r="AW15" s="9"/>
      <c r="AX15" s="38"/>
      <c r="AY15" s="9"/>
      <c r="AZ15" s="9"/>
      <c r="BA15" s="9"/>
      <c r="BB15" s="9"/>
      <c r="BC15" s="9"/>
      <c r="BD15" s="9"/>
      <c r="BE15" s="9"/>
      <c r="BF15" s="9"/>
      <c r="BG15" s="9"/>
      <c r="BH15" s="9"/>
      <c r="BI15" s="9"/>
      <c r="BJ15" s="9"/>
      <c r="BK15" s="9"/>
      <c r="BL15" s="9"/>
      <c r="BM15" s="9"/>
      <c r="BN15" s="9"/>
      <c r="BO15" s="9"/>
      <c r="BP15" s="9"/>
      <c r="BQ15" s="9"/>
      <c r="BR15" s="9"/>
      <c r="BS15" s="9"/>
    </row>
    <row r="16" spans="1:71" x14ac:dyDescent="0.25">
      <c r="A16" s="80"/>
      <c r="B16" s="80">
        <v>1E-3</v>
      </c>
      <c r="C16" s="80">
        <f t="shared" ref="C16:C27" si="2">0.1*LN(B16)+0.9</f>
        <v>0.2092244721017863</v>
      </c>
      <c r="D16" s="80"/>
      <c r="E16" s="80"/>
      <c r="F16" s="80"/>
      <c r="G16" s="80"/>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38"/>
      <c r="AY16" s="9"/>
      <c r="AZ16" s="9"/>
      <c r="BA16" s="9"/>
      <c r="BB16" s="9"/>
      <c r="BC16" s="9"/>
      <c r="BD16" s="9"/>
      <c r="BE16" s="80"/>
      <c r="BF16" s="80"/>
      <c r="BG16" s="166" t="s">
        <v>97</v>
      </c>
      <c r="BH16" s="80"/>
      <c r="BI16" s="9"/>
      <c r="BJ16" s="9"/>
      <c r="BK16" s="9"/>
      <c r="BL16" s="9"/>
      <c r="BM16" s="9"/>
      <c r="BN16" s="9"/>
      <c r="BO16" s="9"/>
      <c r="BP16" s="9"/>
      <c r="BQ16" s="9"/>
      <c r="BR16" s="9"/>
      <c r="BS16" s="9"/>
    </row>
    <row r="17" spans="1:71" ht="15" customHeight="1" x14ac:dyDescent="0.25">
      <c r="A17" s="80"/>
      <c r="B17" s="80">
        <v>0.01</v>
      </c>
      <c r="C17" s="80">
        <f t="shared" si="2"/>
        <v>0.43948298140119091</v>
      </c>
      <c r="D17" s="80"/>
      <c r="E17" s="80"/>
      <c r="F17" s="80"/>
      <c r="G17" s="80"/>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38"/>
      <c r="AY17" s="11"/>
      <c r="AZ17" s="9"/>
      <c r="BA17" s="9"/>
      <c r="BB17" s="9"/>
      <c r="BC17" s="9"/>
      <c r="BD17" s="12"/>
      <c r="BE17" s="90"/>
      <c r="BF17" s="90"/>
      <c r="BG17" s="166"/>
      <c r="BH17" s="166" t="s">
        <v>94</v>
      </c>
      <c r="BI17" s="9"/>
      <c r="BJ17" s="9"/>
      <c r="BK17" s="9"/>
      <c r="BL17" s="9"/>
      <c r="BM17" s="9"/>
      <c r="BN17" s="9"/>
      <c r="BO17" s="9"/>
      <c r="BP17" s="9"/>
      <c r="BQ17" s="9"/>
      <c r="BR17" s="9"/>
      <c r="BS17" s="9"/>
    </row>
    <row r="18" spans="1:71" x14ac:dyDescent="0.25">
      <c r="A18" s="80"/>
      <c r="B18" s="80">
        <v>0.1</v>
      </c>
      <c r="C18" s="80">
        <f t="shared" si="2"/>
        <v>0.66974149070059541</v>
      </c>
      <c r="D18" s="80"/>
      <c r="E18" s="80"/>
      <c r="F18" s="80"/>
      <c r="G18" s="80"/>
      <c r="H18" s="9"/>
      <c r="I18" s="9"/>
      <c r="J18" s="40"/>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11"/>
      <c r="AV18" s="11"/>
      <c r="AW18" s="9"/>
      <c r="AX18" s="41"/>
      <c r="AY18" s="37"/>
      <c r="AZ18" s="9"/>
      <c r="BA18" s="9"/>
      <c r="BB18" s="9">
        <v>0</v>
      </c>
      <c r="BC18" s="9"/>
      <c r="BD18" s="12"/>
      <c r="BE18" s="90"/>
      <c r="BF18" s="90" t="s">
        <v>62</v>
      </c>
      <c r="BG18" s="166"/>
      <c r="BH18" s="166"/>
      <c r="BI18" s="9"/>
      <c r="BJ18" s="9"/>
      <c r="BK18" s="9"/>
      <c r="BL18" s="9"/>
      <c r="BM18" s="9"/>
      <c r="BN18" s="9"/>
      <c r="BO18" s="9"/>
      <c r="BP18" s="9"/>
      <c r="BQ18" s="9"/>
      <c r="BR18" s="9"/>
      <c r="BS18" s="9"/>
    </row>
    <row r="19" spans="1:71" x14ac:dyDescent="0.25">
      <c r="A19" s="80" t="s">
        <v>25</v>
      </c>
      <c r="B19" s="80">
        <v>0.2</v>
      </c>
      <c r="C19" s="80">
        <f t="shared" si="2"/>
        <v>0.73905620875658995</v>
      </c>
      <c r="D19" s="80"/>
      <c r="E19" s="80"/>
      <c r="F19" s="80"/>
      <c r="G19" s="80"/>
      <c r="H19" s="9"/>
      <c r="I19" s="9"/>
      <c r="J19" s="40"/>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32"/>
      <c r="AX19" s="42"/>
      <c r="AY19" s="9"/>
      <c r="AZ19" s="9"/>
      <c r="BA19" s="9"/>
      <c r="BB19" s="9">
        <v>0.1</v>
      </c>
      <c r="BC19" s="9"/>
      <c r="BD19" s="12"/>
      <c r="BE19" s="90" t="s">
        <v>15</v>
      </c>
      <c r="BF19" s="80"/>
      <c r="BG19" s="80"/>
      <c r="BH19" s="80"/>
      <c r="BI19" s="43">
        <v>6.5616833333333327E-6</v>
      </c>
      <c r="BJ19" s="44">
        <v>8.1000000000000003E-2</v>
      </c>
      <c r="BK19" s="43">
        <f>BJ19+0.5</f>
        <v>0.58099999999999996</v>
      </c>
      <c r="BL19" s="9"/>
      <c r="BM19" s="9"/>
      <c r="BN19" s="9"/>
      <c r="BO19" s="9"/>
      <c r="BP19" s="9"/>
      <c r="BQ19" s="9"/>
      <c r="BR19" s="9"/>
      <c r="BS19" s="9"/>
    </row>
    <row r="20" spans="1:71" ht="15" customHeight="1" x14ac:dyDescent="0.25">
      <c r="A20" s="80"/>
      <c r="B20" s="80">
        <v>0.3</v>
      </c>
      <c r="C20" s="80">
        <f t="shared" si="2"/>
        <v>0.77960271956740645</v>
      </c>
      <c r="D20" s="80"/>
      <c r="E20" s="80"/>
      <c r="F20" s="80"/>
      <c r="G20" s="80"/>
      <c r="H20" s="9"/>
      <c r="I20" s="9"/>
      <c r="J20" s="40"/>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13"/>
      <c r="AV20" s="9"/>
      <c r="AW20" s="32"/>
      <c r="AX20" s="42"/>
      <c r="AY20" s="9"/>
      <c r="AZ20" s="9"/>
      <c r="BA20" s="9"/>
      <c r="BB20" s="9">
        <v>0.2</v>
      </c>
      <c r="BC20" s="9"/>
      <c r="BD20" s="12"/>
      <c r="BE20" s="90" t="s">
        <v>12</v>
      </c>
      <c r="BF20" s="91">
        <v>7.8740199999999992E-6</v>
      </c>
      <c r="BG20" s="92">
        <v>4.1964372256097712E-5</v>
      </c>
      <c r="BH20" s="91">
        <f t="shared" ref="BH20:BH27" si="3">BG20+0.5</f>
        <v>0.50004196437225612</v>
      </c>
      <c r="BI20" s="9"/>
      <c r="BJ20" s="9"/>
      <c r="BK20" s="9"/>
      <c r="BL20" s="9"/>
      <c r="BM20" s="9"/>
      <c r="BN20" s="9"/>
      <c r="BO20" s="9"/>
      <c r="BP20" s="9"/>
      <c r="BQ20" s="9"/>
      <c r="BR20" s="9"/>
      <c r="BS20" s="9"/>
    </row>
    <row r="21" spans="1:71" ht="15" customHeight="1" x14ac:dyDescent="0.25">
      <c r="A21" s="80"/>
      <c r="B21" s="80">
        <v>0.4</v>
      </c>
      <c r="C21" s="80">
        <f t="shared" si="2"/>
        <v>0.80837092681258449</v>
      </c>
      <c r="D21" s="80"/>
      <c r="E21" s="80"/>
      <c r="F21" s="80"/>
      <c r="G21" s="80"/>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13"/>
      <c r="AV21" s="9"/>
      <c r="AW21" s="32"/>
      <c r="AX21" s="42"/>
      <c r="AY21" s="9"/>
      <c r="AZ21" s="9"/>
      <c r="BA21" s="9"/>
      <c r="BB21" s="9">
        <v>0.3</v>
      </c>
      <c r="BC21" s="9"/>
      <c r="BD21" s="12"/>
      <c r="BE21" s="90" t="s">
        <v>4</v>
      </c>
      <c r="BF21" s="91">
        <v>8.8582724999999993E-6</v>
      </c>
      <c r="BG21" s="92">
        <v>6.3584918788109606E-5</v>
      </c>
      <c r="BH21" s="91">
        <f t="shared" si="3"/>
        <v>0.50006358491878811</v>
      </c>
      <c r="BI21" s="9"/>
      <c r="BJ21" s="9"/>
      <c r="BK21" s="9"/>
      <c r="BL21" s="9"/>
      <c r="BM21" s="9"/>
      <c r="BN21" s="9"/>
      <c r="BO21" s="9"/>
      <c r="BP21" s="9"/>
      <c r="BQ21" s="9"/>
      <c r="BR21" s="9"/>
      <c r="BS21" s="9"/>
    </row>
    <row r="22" spans="1:71" x14ac:dyDescent="0.25">
      <c r="A22" s="80"/>
      <c r="B22" s="80">
        <v>0.5</v>
      </c>
      <c r="C22" s="80">
        <f t="shared" si="2"/>
        <v>0.83068528194400548</v>
      </c>
      <c r="D22" s="80"/>
      <c r="E22" s="80"/>
      <c r="F22" s="80"/>
      <c r="G22" s="80"/>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13"/>
      <c r="AV22" s="9"/>
      <c r="AW22" s="32"/>
      <c r="AX22" s="42"/>
      <c r="AY22" s="9"/>
      <c r="AZ22" s="9"/>
      <c r="BA22" s="9"/>
      <c r="BB22" s="9">
        <v>0.4</v>
      </c>
      <c r="BC22" s="9"/>
      <c r="BD22" s="12"/>
      <c r="BE22" s="90" t="s">
        <v>13</v>
      </c>
      <c r="BF22" s="91">
        <v>2.6246733333333331E-5</v>
      </c>
      <c r="BG22" s="92">
        <v>4.4554790752032508E-4</v>
      </c>
      <c r="BH22" s="91">
        <f t="shared" si="3"/>
        <v>0.50044554790752027</v>
      </c>
      <c r="BI22" s="9"/>
      <c r="BJ22" s="9"/>
      <c r="BK22" s="9"/>
      <c r="BL22" s="9"/>
      <c r="BM22" s="9"/>
      <c r="BN22" s="9"/>
      <c r="BO22" s="9"/>
      <c r="BP22" s="9"/>
      <c r="BQ22" s="9"/>
      <c r="BR22" s="9"/>
      <c r="BS22" s="9"/>
    </row>
    <row r="23" spans="1:71" x14ac:dyDescent="0.25">
      <c r="A23" s="80"/>
      <c r="B23" s="80">
        <v>0.6</v>
      </c>
      <c r="C23" s="80">
        <f t="shared" si="2"/>
        <v>0.84891743762340099</v>
      </c>
      <c r="D23" s="80"/>
      <c r="E23" s="80"/>
      <c r="F23" s="80"/>
      <c r="G23" s="80"/>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13"/>
      <c r="AV23" s="9"/>
      <c r="AW23" s="13"/>
      <c r="AX23" s="38"/>
      <c r="AY23" s="9"/>
      <c r="AZ23" s="9"/>
      <c r="BA23" s="9"/>
      <c r="BB23" s="9">
        <v>0.5</v>
      </c>
      <c r="BC23" s="9"/>
      <c r="BD23" s="12"/>
      <c r="BE23" s="90" t="s">
        <v>10</v>
      </c>
      <c r="BF23" s="91">
        <v>2.9527574999999997E-5</v>
      </c>
      <c r="BG23" s="92">
        <v>5.1761639596036588E-4</v>
      </c>
      <c r="BH23" s="91">
        <f t="shared" si="3"/>
        <v>0.50051761639596037</v>
      </c>
      <c r="BI23" s="9"/>
      <c r="BJ23" s="9"/>
      <c r="BK23" s="9"/>
      <c r="BL23" s="9"/>
      <c r="BM23" s="9"/>
      <c r="BN23" s="9"/>
      <c r="BO23" s="9"/>
      <c r="BP23" s="9"/>
      <c r="BQ23" s="9"/>
      <c r="BR23" s="9"/>
      <c r="BS23" s="9"/>
    </row>
    <row r="24" spans="1:71" x14ac:dyDescent="0.25">
      <c r="A24" s="80"/>
      <c r="B24" s="80">
        <v>0.7</v>
      </c>
      <c r="C24" s="80">
        <f t="shared" si="2"/>
        <v>0.86433250560612673</v>
      </c>
      <c r="D24" s="80"/>
      <c r="E24" s="80"/>
      <c r="F24" s="80"/>
      <c r="G24" s="80"/>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13"/>
      <c r="AV24" s="9"/>
      <c r="AW24" s="13"/>
      <c r="AX24" s="38"/>
      <c r="AY24" s="9"/>
      <c r="AZ24" s="9"/>
      <c r="BA24" s="9"/>
      <c r="BB24" s="9">
        <v>0.6</v>
      </c>
      <c r="BC24" s="9"/>
      <c r="BD24" s="12"/>
      <c r="BE24" s="90" t="s">
        <v>14</v>
      </c>
      <c r="BF24" s="91">
        <v>6.8897675000000001E-5</v>
      </c>
      <c r="BG24" s="92">
        <v>1.5409042759146349E-3</v>
      </c>
      <c r="BH24" s="91">
        <f t="shared" si="3"/>
        <v>0.50154090427591469</v>
      </c>
      <c r="BI24" s="9"/>
      <c r="BJ24" s="9"/>
      <c r="BK24" s="9"/>
      <c r="BL24" s="9"/>
      <c r="BM24" s="9"/>
      <c r="BN24" s="9"/>
      <c r="BO24" s="9"/>
      <c r="BP24" s="9"/>
      <c r="BQ24" s="9"/>
      <c r="BR24" s="9"/>
      <c r="BS24" s="9"/>
    </row>
    <row r="25" spans="1:71" x14ac:dyDescent="0.25">
      <c r="A25" s="80"/>
      <c r="B25" s="80">
        <v>0.8</v>
      </c>
      <c r="C25" s="80">
        <f t="shared" si="2"/>
        <v>0.87768564486857903</v>
      </c>
      <c r="D25" s="80"/>
      <c r="E25" s="80"/>
      <c r="F25" s="80"/>
      <c r="G25" s="80"/>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13"/>
      <c r="AV25" s="9"/>
      <c r="AW25" s="13"/>
      <c r="AX25" s="38"/>
      <c r="AY25" s="9"/>
      <c r="AZ25" s="9"/>
      <c r="BA25" s="9"/>
      <c r="BB25" s="9">
        <v>0.7</v>
      </c>
      <c r="BC25" s="9"/>
      <c r="BD25" s="12"/>
      <c r="BE25" s="90" t="s">
        <v>11</v>
      </c>
      <c r="BF25" s="91">
        <v>1.4107619166666666E-4</v>
      </c>
      <c r="BG25" s="92">
        <v>6.5948674856029814E-3</v>
      </c>
      <c r="BH25" s="91">
        <f t="shared" si="3"/>
        <v>0.50659486748560301</v>
      </c>
      <c r="BI25" s="9"/>
      <c r="BJ25" s="9"/>
      <c r="BK25" s="9"/>
      <c r="BL25" s="9"/>
      <c r="BM25" s="9"/>
      <c r="BN25" s="9"/>
      <c r="BO25" s="9"/>
      <c r="BP25" s="9"/>
      <c r="BQ25" s="9"/>
      <c r="BR25" s="9"/>
      <c r="BS25" s="9"/>
    </row>
    <row r="26" spans="1:71" x14ac:dyDescent="0.25">
      <c r="A26" s="80"/>
      <c r="B26" s="80">
        <v>0.9</v>
      </c>
      <c r="C26" s="80">
        <f t="shared" si="2"/>
        <v>0.88946394843421739</v>
      </c>
      <c r="D26" s="80"/>
      <c r="E26" s="80"/>
      <c r="F26" s="80"/>
      <c r="G26" s="80"/>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13"/>
      <c r="AV26" s="9"/>
      <c r="AW26" s="13"/>
      <c r="AX26" s="38"/>
      <c r="AY26" s="9"/>
      <c r="AZ26" s="9"/>
      <c r="BA26" s="9"/>
      <c r="BB26" s="9">
        <v>0.8</v>
      </c>
      <c r="BC26" s="9"/>
      <c r="BD26" s="12"/>
      <c r="BE26" s="90" t="s">
        <v>5</v>
      </c>
      <c r="BF26" s="91">
        <v>6.5616833333333343E-4</v>
      </c>
      <c r="BG26" s="92">
        <v>8.1007466999050343E-2</v>
      </c>
      <c r="BH26" s="91">
        <f t="shared" si="3"/>
        <v>0.58100746699905037</v>
      </c>
      <c r="BI26" s="9"/>
      <c r="BJ26" s="9"/>
      <c r="BK26" s="9"/>
      <c r="BL26" s="9"/>
      <c r="BM26" s="9"/>
      <c r="BN26" s="9"/>
      <c r="BO26" s="9"/>
      <c r="BP26" s="9"/>
      <c r="BQ26" s="9"/>
      <c r="BR26" s="9"/>
      <c r="BS26" s="9"/>
    </row>
    <row r="27" spans="1:71" x14ac:dyDescent="0.25">
      <c r="A27" s="80"/>
      <c r="B27" s="80">
        <v>1</v>
      </c>
      <c r="C27" s="80">
        <f t="shared" si="2"/>
        <v>0.9</v>
      </c>
      <c r="D27" s="80"/>
      <c r="E27" s="80"/>
      <c r="F27" s="80"/>
      <c r="G27" s="80"/>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13"/>
      <c r="AV27" s="9"/>
      <c r="AW27" s="13"/>
      <c r="AX27" s="38"/>
      <c r="AY27" s="9"/>
      <c r="AZ27" s="9"/>
      <c r="BA27" s="9"/>
      <c r="BB27" s="9">
        <v>0.9</v>
      </c>
      <c r="BC27" s="9"/>
      <c r="BD27" s="12"/>
      <c r="BE27" s="90" t="s">
        <v>6</v>
      </c>
      <c r="BF27" s="91">
        <v>6.5616833333333343E-4</v>
      </c>
      <c r="BG27" s="92">
        <v>8.1007466999050343E-2</v>
      </c>
      <c r="BH27" s="91">
        <f t="shared" si="3"/>
        <v>0.58100746699905037</v>
      </c>
      <c r="BI27" s="9"/>
      <c r="BJ27" s="9"/>
      <c r="BK27" s="9"/>
      <c r="BL27" s="9"/>
      <c r="BM27" s="9"/>
      <c r="BN27" s="9"/>
      <c r="BO27" s="9"/>
      <c r="BP27" s="9"/>
      <c r="BQ27" s="9"/>
      <c r="BR27" s="9"/>
      <c r="BS27" s="9"/>
    </row>
    <row r="28" spans="1:71" x14ac:dyDescent="0.25">
      <c r="A28" s="80"/>
      <c r="B28" s="80"/>
      <c r="C28" s="80"/>
      <c r="D28" s="80"/>
      <c r="E28" s="80"/>
      <c r="F28" s="80"/>
      <c r="G28" s="80"/>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13"/>
      <c r="AV28" s="9"/>
      <c r="AW28" s="13"/>
      <c r="AX28" s="38"/>
      <c r="AY28" s="9"/>
      <c r="AZ28" s="9"/>
      <c r="BA28" s="9"/>
      <c r="BB28" s="9">
        <v>1</v>
      </c>
      <c r="BC28" s="9"/>
      <c r="BD28" s="12"/>
      <c r="BE28" s="90" t="s">
        <v>7</v>
      </c>
      <c r="BF28" s="91">
        <v>8.5301883333333331E-4</v>
      </c>
      <c r="BG28" s="92">
        <v>0.10206654470560303</v>
      </c>
      <c r="BH28" s="91">
        <v>0.62</v>
      </c>
      <c r="BI28" s="9"/>
      <c r="BJ28" s="9"/>
      <c r="BK28" s="9"/>
      <c r="BL28" s="9"/>
      <c r="BM28" s="9"/>
      <c r="BN28" s="9"/>
      <c r="BO28" s="9"/>
      <c r="BP28" s="9"/>
      <c r="BQ28" s="9"/>
      <c r="BR28" s="9"/>
      <c r="BS28" s="9"/>
    </row>
    <row r="29" spans="1:71" x14ac:dyDescent="0.25">
      <c r="A29" s="80"/>
      <c r="B29" s="80"/>
      <c r="C29" s="80"/>
      <c r="D29" s="80"/>
      <c r="E29" s="80"/>
      <c r="F29" s="80"/>
      <c r="G29" s="80"/>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13"/>
      <c r="AV29" s="9"/>
      <c r="AW29" s="13"/>
      <c r="AX29" s="38"/>
      <c r="AY29" s="9"/>
      <c r="AZ29" s="9"/>
      <c r="BA29" s="9"/>
      <c r="BB29" s="9"/>
      <c r="BC29" s="9"/>
      <c r="BD29" s="12"/>
      <c r="BE29" s="90" t="s">
        <v>9</v>
      </c>
      <c r="BF29" s="91">
        <v>9.5144408333333326E-4</v>
      </c>
      <c r="BG29" s="92">
        <v>0.11259608355887937</v>
      </c>
      <c r="BH29" s="91">
        <v>0.68</v>
      </c>
      <c r="BI29" s="9"/>
      <c r="BJ29" s="9"/>
      <c r="BK29" s="9"/>
      <c r="BL29" s="9"/>
      <c r="BM29" s="9"/>
      <c r="BN29" s="9"/>
      <c r="BO29" s="9"/>
      <c r="BP29" s="9"/>
      <c r="BQ29" s="9"/>
      <c r="BR29" s="9"/>
      <c r="BS29" s="9"/>
    </row>
    <row r="30" spans="1:71" ht="15.75" thickBot="1" x14ac:dyDescent="0.3">
      <c r="A30" s="80"/>
      <c r="B30" s="80"/>
      <c r="C30" s="80"/>
      <c r="D30" s="80"/>
      <c r="E30" s="80"/>
      <c r="F30" s="80"/>
      <c r="G30" s="80"/>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13"/>
      <c r="AV30" s="9"/>
      <c r="AW30" s="13"/>
      <c r="AX30" s="38"/>
      <c r="AY30" s="9"/>
      <c r="AZ30" s="9"/>
      <c r="BA30" s="9"/>
      <c r="BB30" s="9"/>
      <c r="BC30" s="9"/>
      <c r="BD30" s="12"/>
      <c r="BE30" s="90" t="s">
        <v>8</v>
      </c>
      <c r="BF30" s="91">
        <v>1.181103E-3</v>
      </c>
      <c r="BG30" s="93">
        <v>0.51984558000000014</v>
      </c>
      <c r="BH30" s="91">
        <v>0.98</v>
      </c>
      <c r="BI30" s="9"/>
      <c r="BJ30" s="9"/>
      <c r="BK30" s="9"/>
      <c r="BL30" s="9"/>
      <c r="BM30" s="9"/>
      <c r="BN30" s="9"/>
      <c r="BO30" s="9"/>
      <c r="BP30" s="9"/>
      <c r="BQ30" s="9"/>
      <c r="BR30" s="9"/>
      <c r="BS30" s="9"/>
    </row>
    <row r="31" spans="1:71" x14ac:dyDescent="0.25">
      <c r="A31" s="80" t="s">
        <v>65</v>
      </c>
      <c r="B31" s="80"/>
      <c r="C31" s="80"/>
      <c r="D31" s="80"/>
      <c r="E31" s="80"/>
      <c r="F31" s="80"/>
      <c r="G31" s="80"/>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13"/>
      <c r="AV31" s="9"/>
      <c r="AW31" s="13"/>
      <c r="AX31" s="38"/>
      <c r="AY31" s="9"/>
      <c r="AZ31" s="9"/>
      <c r="BA31" s="9"/>
      <c r="BB31" s="9"/>
      <c r="BC31" s="9"/>
      <c r="BD31" s="12"/>
      <c r="BE31" s="12"/>
      <c r="BF31" s="12"/>
      <c r="BG31" s="12"/>
      <c r="BH31" s="12"/>
      <c r="BI31" s="9"/>
      <c r="BJ31" s="9"/>
      <c r="BK31" s="9"/>
      <c r="BL31" s="9"/>
      <c r="BM31" s="9"/>
      <c r="BN31" s="9"/>
      <c r="BO31" s="9"/>
      <c r="BP31" s="9"/>
      <c r="BQ31" s="9"/>
      <c r="BR31" s="9"/>
      <c r="BS31" s="9"/>
    </row>
    <row r="32" spans="1:71" x14ac:dyDescent="0.25">
      <c r="A32" s="80"/>
      <c r="B32" s="88">
        <f>IF((0.0988*LN(B4)+0.8986)&gt;=1,1,(0.0988*LN(B4)+0.8986))</f>
        <v>0.43075029799923015</v>
      </c>
      <c r="C32" s="80"/>
      <c r="D32" s="80"/>
      <c r="E32" s="80"/>
      <c r="F32" s="80"/>
      <c r="G32" s="80"/>
      <c r="H32" s="9"/>
      <c r="I32" s="51"/>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13"/>
      <c r="AX32" s="38"/>
      <c r="AY32" s="9"/>
      <c r="AZ32" s="9"/>
      <c r="BA32" s="9"/>
      <c r="BB32" s="9"/>
      <c r="BC32" s="9"/>
      <c r="BD32" s="12"/>
      <c r="BE32" s="12"/>
      <c r="BF32" s="12"/>
      <c r="BG32" s="12"/>
      <c r="BH32" s="12"/>
      <c r="BI32" s="9"/>
      <c r="BJ32" s="9"/>
      <c r="BK32" s="9"/>
      <c r="BL32" s="9"/>
      <c r="BM32" s="9"/>
      <c r="BN32" s="9"/>
      <c r="BO32" s="9"/>
      <c r="BP32" s="9"/>
      <c r="BQ32" s="9"/>
      <c r="BR32" s="9"/>
      <c r="BS32" s="9"/>
    </row>
    <row r="33" spans="1:71" x14ac:dyDescent="0.25">
      <c r="A33" s="80"/>
      <c r="B33" s="80"/>
      <c r="C33" s="80"/>
      <c r="D33" s="80"/>
      <c r="E33" s="80"/>
      <c r="F33" s="80"/>
      <c r="G33" s="80"/>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13"/>
      <c r="AX33" s="38"/>
      <c r="AY33" s="9"/>
      <c r="AZ33" s="9"/>
      <c r="BA33" s="9"/>
      <c r="BB33" s="9"/>
      <c r="BC33" s="9"/>
      <c r="BD33" s="12"/>
      <c r="BE33" s="12"/>
      <c r="BF33" s="12"/>
      <c r="BG33" s="12"/>
      <c r="BH33" s="12"/>
      <c r="BI33" s="9"/>
      <c r="BJ33" s="9"/>
      <c r="BK33" s="9"/>
      <c r="BL33" s="9"/>
      <c r="BM33" s="9"/>
      <c r="BN33" s="9"/>
      <c r="BO33" s="9"/>
      <c r="BP33" s="9"/>
      <c r="BQ33" s="9"/>
      <c r="BR33" s="9"/>
      <c r="BS33" s="9"/>
    </row>
    <row r="34" spans="1:71" x14ac:dyDescent="0.25">
      <c r="A34" s="80"/>
      <c r="B34" s="80"/>
      <c r="C34" s="80"/>
      <c r="D34" s="80"/>
      <c r="E34" s="80"/>
      <c r="F34" s="80"/>
      <c r="G34" s="80"/>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13"/>
      <c r="AX34" s="38"/>
      <c r="AY34" s="9"/>
      <c r="AZ34" s="9"/>
      <c r="BA34" s="9"/>
      <c r="BB34" s="9"/>
      <c r="BC34" s="9"/>
      <c r="BD34" s="9"/>
      <c r="BE34" s="9"/>
      <c r="BF34" s="9"/>
      <c r="BG34" s="9"/>
      <c r="BH34" s="9"/>
      <c r="BI34" s="9"/>
      <c r="BJ34" s="9"/>
      <c r="BK34" s="9"/>
      <c r="BL34" s="9"/>
      <c r="BM34" s="9"/>
      <c r="BN34" s="9"/>
      <c r="BO34" s="9"/>
      <c r="BP34" s="9"/>
      <c r="BQ34" s="9"/>
      <c r="BR34" s="9"/>
      <c r="BS34" s="9"/>
    </row>
    <row r="35" spans="1:71" x14ac:dyDescent="0.25">
      <c r="A35" s="80"/>
      <c r="B35" s="80"/>
      <c r="C35" s="80"/>
      <c r="D35" s="80"/>
      <c r="E35" s="80"/>
      <c r="F35" s="80"/>
      <c r="G35" s="80"/>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38"/>
      <c r="AY35" s="9"/>
      <c r="AZ35" s="9"/>
      <c r="BA35" s="9"/>
      <c r="BB35" s="9"/>
      <c r="BC35" s="9"/>
      <c r="BD35" s="9"/>
      <c r="BE35" s="9"/>
      <c r="BF35" s="9"/>
      <c r="BG35" s="9"/>
      <c r="BH35" s="9"/>
      <c r="BI35" s="9"/>
      <c r="BJ35" s="9"/>
      <c r="BK35" s="9"/>
      <c r="BL35" s="9"/>
      <c r="BM35" s="9"/>
      <c r="BN35" s="9"/>
      <c r="BO35" s="9"/>
      <c r="BP35" s="9"/>
      <c r="BQ35" s="9"/>
      <c r="BR35" s="9"/>
      <c r="BS35" s="9"/>
    </row>
    <row r="36" spans="1:71" x14ac:dyDescent="0.25">
      <c r="A36" s="80"/>
      <c r="B36" s="80"/>
      <c r="C36" s="80"/>
      <c r="D36" s="80"/>
      <c r="E36" s="80"/>
      <c r="F36" s="80"/>
      <c r="G36" s="80"/>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38"/>
      <c r="AY36" s="9"/>
      <c r="AZ36" s="9"/>
      <c r="BA36" s="9"/>
      <c r="BB36" s="9"/>
      <c r="BC36" s="9"/>
      <c r="BD36" s="9"/>
      <c r="BE36" s="9"/>
      <c r="BF36" s="9"/>
      <c r="BG36" s="9"/>
      <c r="BH36" s="9"/>
      <c r="BI36" s="9"/>
      <c r="BJ36" s="9"/>
      <c r="BK36" s="9"/>
      <c r="BL36" s="9"/>
      <c r="BM36" s="9"/>
      <c r="BN36" s="9"/>
      <c r="BO36" s="9"/>
      <c r="BP36" s="9"/>
      <c r="BQ36" s="9"/>
      <c r="BR36" s="9"/>
      <c r="BS36" s="9"/>
    </row>
    <row r="37" spans="1:71" x14ac:dyDescent="0.25">
      <c r="A37" s="80"/>
      <c r="B37" s="80"/>
      <c r="C37" s="80"/>
      <c r="D37" s="80"/>
      <c r="E37" s="80"/>
      <c r="F37" s="80"/>
      <c r="G37" s="80"/>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38"/>
      <c r="AY37" s="9"/>
      <c r="AZ37" s="9"/>
      <c r="BA37" s="9"/>
      <c r="BB37" s="9"/>
      <c r="BC37" s="9"/>
      <c r="BD37" s="9"/>
      <c r="BE37" s="9"/>
      <c r="BF37" s="9"/>
      <c r="BG37" s="9"/>
      <c r="BH37" s="9"/>
      <c r="BI37" s="9"/>
      <c r="BJ37" s="9"/>
      <c r="BK37" s="9"/>
      <c r="BL37" s="9"/>
      <c r="BM37" s="9"/>
      <c r="BN37" s="9"/>
      <c r="BO37" s="9"/>
      <c r="BP37" s="9"/>
      <c r="BQ37" s="9"/>
      <c r="BR37" s="9"/>
      <c r="BS37" s="9"/>
    </row>
    <row r="38" spans="1:71" x14ac:dyDescent="0.25">
      <c r="A38" s="80"/>
      <c r="B38" s="80"/>
      <c r="C38" s="80"/>
      <c r="D38" s="80"/>
      <c r="E38" s="80"/>
      <c r="F38" s="80"/>
      <c r="G38" s="80"/>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38"/>
      <c r="AY38" s="9" t="s">
        <v>64</v>
      </c>
      <c r="AZ38" s="9"/>
      <c r="BA38" s="9"/>
      <c r="BB38" s="9"/>
      <c r="BC38" s="9"/>
      <c r="BD38" s="9"/>
      <c r="BE38" s="9"/>
      <c r="BF38" s="9"/>
      <c r="BG38" s="9"/>
      <c r="BH38" s="9"/>
      <c r="BI38" s="9"/>
      <c r="BJ38" s="9"/>
      <c r="BK38" s="9"/>
      <c r="BL38" s="9"/>
      <c r="BM38" s="9"/>
      <c r="BN38" s="9"/>
      <c r="BO38" s="9"/>
      <c r="BP38" s="9"/>
      <c r="BQ38" s="9"/>
      <c r="BR38" s="9"/>
      <c r="BS38" s="9"/>
    </row>
    <row r="39" spans="1:71" x14ac:dyDescent="0.25">
      <c r="A39" s="80"/>
      <c r="B39" s="80"/>
      <c r="C39" s="80"/>
      <c r="D39" s="80"/>
      <c r="E39" s="80"/>
      <c r="F39" s="80"/>
      <c r="G39" s="80"/>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38"/>
      <c r="AY39" s="9"/>
      <c r="AZ39" s="32">
        <f>0.8*B55+0.2*B32</f>
        <v>0.48714690958929485</v>
      </c>
      <c r="BA39" s="9"/>
      <c r="BB39" s="9"/>
      <c r="BC39" s="9"/>
      <c r="BD39" s="9"/>
      <c r="BE39" s="9"/>
      <c r="BF39" s="9"/>
      <c r="BG39" s="9"/>
      <c r="BH39" s="9"/>
      <c r="BI39" s="9"/>
      <c r="BJ39" s="9"/>
      <c r="BK39" s="9"/>
      <c r="BL39" s="9"/>
      <c r="BM39" s="9"/>
      <c r="BN39" s="9"/>
      <c r="BO39" s="9"/>
      <c r="BP39" s="9"/>
      <c r="BQ39" s="9"/>
      <c r="BR39" s="9"/>
      <c r="BS39" s="9"/>
    </row>
    <row r="40" spans="1:71" x14ac:dyDescent="0.25">
      <c r="A40" s="80"/>
      <c r="B40" s="80"/>
      <c r="C40" s="80"/>
      <c r="D40" s="80"/>
      <c r="E40" s="80"/>
      <c r="F40" s="80"/>
      <c r="G40" s="80"/>
      <c r="H40" s="9"/>
      <c r="I40" s="9"/>
      <c r="J40" s="9"/>
      <c r="K40" s="9"/>
      <c r="L40" s="9"/>
      <c r="M40" s="9"/>
      <c r="N40" s="9"/>
      <c r="O40" s="156"/>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38"/>
      <c r="AY40" s="9"/>
      <c r="AZ40" s="9"/>
      <c r="BA40" s="9"/>
      <c r="BB40" s="9"/>
      <c r="BC40" s="9"/>
      <c r="BD40" s="9"/>
      <c r="BE40" s="9"/>
      <c r="BF40" s="9"/>
      <c r="BG40" s="9"/>
      <c r="BH40" s="9"/>
      <c r="BI40" s="9"/>
      <c r="BJ40" s="9"/>
      <c r="BK40" s="9"/>
      <c r="BL40" s="9"/>
      <c r="BM40" s="9"/>
      <c r="BN40" s="9"/>
      <c r="BO40" s="9"/>
      <c r="BP40" s="9"/>
      <c r="BQ40" s="9"/>
      <c r="BR40" s="9"/>
      <c r="BS40" s="9"/>
    </row>
    <row r="41" spans="1:71" x14ac:dyDescent="0.25">
      <c r="A41" s="80"/>
      <c r="B41" s="80"/>
      <c r="C41" s="80"/>
      <c r="D41" s="80"/>
      <c r="E41" s="80"/>
      <c r="F41" s="80"/>
      <c r="G41" s="80"/>
      <c r="H41" s="9"/>
      <c r="I41" s="9"/>
      <c r="J41" s="9"/>
      <c r="K41" s="9"/>
      <c r="L41" s="9"/>
      <c r="M41" s="9"/>
      <c r="N41" s="9"/>
      <c r="O41" s="156"/>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38"/>
      <c r="AY41" s="9"/>
      <c r="AZ41" s="9"/>
      <c r="BA41" s="9"/>
      <c r="BB41" s="9"/>
      <c r="BC41" s="9"/>
      <c r="BD41" s="9"/>
      <c r="BE41" s="9"/>
      <c r="BF41" s="9"/>
      <c r="BG41" s="9"/>
      <c r="BH41" s="9"/>
      <c r="BI41" s="9"/>
      <c r="BJ41" s="9"/>
      <c r="BK41" s="9"/>
      <c r="BL41" s="9"/>
      <c r="BM41" s="9"/>
      <c r="BN41" s="9"/>
      <c r="BO41" s="9"/>
      <c r="BP41" s="9"/>
      <c r="BQ41" s="9"/>
      <c r="BR41" s="9"/>
      <c r="BS41" s="9"/>
    </row>
    <row r="42" spans="1:71" x14ac:dyDescent="0.25">
      <c r="A42" s="80"/>
      <c r="B42" s="80"/>
      <c r="C42" s="80"/>
      <c r="D42" s="80"/>
      <c r="E42" s="80"/>
      <c r="F42" s="80"/>
      <c r="G42" s="80"/>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38"/>
      <c r="AY42" s="9"/>
      <c r="AZ42" s="9"/>
      <c r="BA42" s="9"/>
      <c r="BB42" s="9"/>
      <c r="BC42" s="9"/>
      <c r="BD42" s="9"/>
      <c r="BE42" s="9"/>
      <c r="BF42" s="9"/>
      <c r="BG42" s="9"/>
      <c r="BH42" s="9"/>
      <c r="BI42" s="9"/>
      <c r="BJ42" s="9"/>
      <c r="BK42" s="9"/>
      <c r="BL42" s="9"/>
      <c r="BM42" s="9"/>
      <c r="BN42" s="9"/>
      <c r="BO42" s="9"/>
      <c r="BP42" s="9"/>
      <c r="BQ42" s="9"/>
      <c r="BR42" s="9"/>
      <c r="BS42" s="9"/>
    </row>
    <row r="43" spans="1:71" x14ac:dyDescent="0.25">
      <c r="A43" s="80"/>
      <c r="B43" s="80"/>
      <c r="C43" s="80"/>
      <c r="D43" s="80"/>
      <c r="E43" s="80"/>
      <c r="F43" s="80"/>
      <c r="G43" s="80"/>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38"/>
      <c r="AY43" s="9"/>
      <c r="AZ43" s="9"/>
      <c r="BA43" s="9"/>
      <c r="BB43" s="9"/>
      <c r="BC43" s="9"/>
      <c r="BD43" s="9"/>
      <c r="BE43" s="9"/>
      <c r="BF43" s="9"/>
      <c r="BG43" s="9"/>
      <c r="BH43" s="9"/>
      <c r="BI43" s="9"/>
      <c r="BJ43" s="9"/>
      <c r="BK43" s="9"/>
      <c r="BL43" s="9"/>
      <c r="BM43" s="9"/>
      <c r="BN43" s="9"/>
      <c r="BO43" s="9"/>
      <c r="BP43" s="9"/>
      <c r="BQ43" s="9"/>
      <c r="BR43" s="9"/>
      <c r="BS43" s="9"/>
    </row>
    <row r="44" spans="1:71" x14ac:dyDescent="0.25">
      <c r="A44" s="80"/>
      <c r="B44" s="80"/>
      <c r="C44" s="80"/>
      <c r="D44" s="80"/>
      <c r="E44" s="80"/>
      <c r="F44" s="80"/>
      <c r="G44" s="80"/>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38"/>
      <c r="AY44" s="9"/>
      <c r="AZ44" s="9"/>
      <c r="BA44" s="9"/>
      <c r="BB44" s="9"/>
      <c r="BC44" s="9"/>
      <c r="BD44" s="9"/>
      <c r="BE44" s="9"/>
      <c r="BF44" s="9"/>
      <c r="BG44" s="9"/>
      <c r="BH44" s="9"/>
      <c r="BI44" s="9"/>
      <c r="BJ44" s="9"/>
      <c r="BK44" s="9"/>
      <c r="BL44" s="9"/>
      <c r="BM44" s="9"/>
      <c r="BN44" s="9"/>
      <c r="BO44" s="9"/>
      <c r="BP44" s="9"/>
      <c r="BQ44" s="9"/>
      <c r="BR44" s="9"/>
      <c r="BS44" s="9"/>
    </row>
    <row r="45" spans="1:71" x14ac:dyDescent="0.25">
      <c r="A45" s="80"/>
      <c r="B45" s="80"/>
      <c r="C45" s="80"/>
      <c r="D45" s="80"/>
      <c r="E45" s="80"/>
      <c r="F45" s="80"/>
      <c r="G45" s="80"/>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38"/>
      <c r="AY45" s="9"/>
      <c r="AZ45" s="9"/>
      <c r="BA45" s="9"/>
      <c r="BB45" s="9"/>
      <c r="BC45" s="9"/>
      <c r="BD45" s="9"/>
      <c r="BE45" s="9"/>
      <c r="BF45" s="9"/>
      <c r="BG45" s="9"/>
      <c r="BH45" s="9"/>
      <c r="BI45" s="9"/>
      <c r="BJ45" s="9"/>
      <c r="BK45" s="9"/>
      <c r="BL45" s="9"/>
      <c r="BM45" s="9"/>
      <c r="BN45" s="9"/>
      <c r="BO45" s="9"/>
      <c r="BP45" s="9"/>
      <c r="BQ45" s="9"/>
      <c r="BR45" s="9"/>
      <c r="BS45" s="9"/>
    </row>
    <row r="46" spans="1:71" x14ac:dyDescent="0.25">
      <c r="A46" s="80"/>
      <c r="B46" s="80"/>
      <c r="C46" s="80"/>
      <c r="D46" s="80"/>
      <c r="E46" s="80"/>
      <c r="F46" s="80"/>
      <c r="G46" s="80"/>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38"/>
      <c r="AY46" s="9"/>
      <c r="AZ46" s="9"/>
      <c r="BA46" s="9"/>
      <c r="BB46" s="9"/>
      <c r="BC46" s="9"/>
      <c r="BD46" s="9"/>
      <c r="BE46" s="9"/>
      <c r="BF46" s="9"/>
      <c r="BG46" s="9"/>
      <c r="BH46" s="9"/>
      <c r="BI46" s="9"/>
      <c r="BJ46" s="9"/>
      <c r="BK46" s="9"/>
      <c r="BL46" s="9"/>
      <c r="BM46" s="9"/>
      <c r="BN46" s="9"/>
      <c r="BO46" s="9"/>
      <c r="BP46" s="9"/>
      <c r="BQ46" s="9"/>
      <c r="BR46" s="9"/>
      <c r="BS46" s="9"/>
    </row>
    <row r="47" spans="1:71" x14ac:dyDescent="0.25">
      <c r="A47" s="80"/>
      <c r="B47" s="80"/>
      <c r="C47" s="80"/>
      <c r="D47" s="80"/>
      <c r="E47" s="80"/>
      <c r="F47" s="80"/>
      <c r="G47" s="80"/>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38"/>
      <c r="AY47" s="9"/>
      <c r="AZ47" s="9"/>
      <c r="BA47" s="9"/>
      <c r="BB47" s="9"/>
      <c r="BC47" s="9"/>
      <c r="BD47" s="9"/>
      <c r="BE47" s="9"/>
      <c r="BF47" s="9"/>
      <c r="BG47" s="9"/>
      <c r="BH47" s="9"/>
      <c r="BI47" s="9"/>
      <c r="BJ47" s="9"/>
      <c r="BK47" s="9"/>
      <c r="BL47" s="9"/>
      <c r="BM47" s="9"/>
      <c r="BN47" s="9"/>
      <c r="BO47" s="9"/>
      <c r="BP47" s="9"/>
      <c r="BQ47" s="9"/>
      <c r="BR47" s="9"/>
      <c r="BS47" s="9"/>
    </row>
    <row r="48" spans="1:71" x14ac:dyDescent="0.25">
      <c r="A48" s="80"/>
      <c r="B48" s="80"/>
      <c r="C48" s="80"/>
      <c r="D48" s="80"/>
      <c r="E48" s="80"/>
      <c r="F48" s="80"/>
      <c r="G48" s="80"/>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38"/>
      <c r="AY48" s="9"/>
      <c r="AZ48" s="9"/>
      <c r="BA48" s="9"/>
      <c r="BB48" s="9"/>
      <c r="BC48" s="9"/>
      <c r="BD48" s="9"/>
      <c r="BE48" s="9"/>
      <c r="BF48" s="9"/>
      <c r="BG48" s="9"/>
      <c r="BH48" s="9"/>
      <c r="BI48" s="9"/>
      <c r="BJ48" s="9"/>
      <c r="BK48" s="9"/>
      <c r="BL48" s="9"/>
      <c r="BM48" s="9"/>
      <c r="BN48" s="9"/>
      <c r="BO48" s="9"/>
      <c r="BP48" s="9"/>
      <c r="BQ48" s="9"/>
      <c r="BR48" s="9"/>
      <c r="BS48" s="9"/>
    </row>
    <row r="49" spans="1:71" x14ac:dyDescent="0.25">
      <c r="A49" s="80"/>
      <c r="B49" s="80"/>
      <c r="C49" s="80"/>
      <c r="D49" s="80"/>
      <c r="E49" s="80"/>
      <c r="F49" s="80"/>
      <c r="G49" s="80"/>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38"/>
      <c r="AY49" s="9"/>
      <c r="AZ49" s="9"/>
      <c r="BA49" s="9"/>
      <c r="BB49" s="9"/>
      <c r="BC49" s="9"/>
      <c r="BD49" s="9"/>
      <c r="BE49" s="9"/>
      <c r="BF49" s="9"/>
      <c r="BG49" s="9"/>
      <c r="BH49" s="9"/>
      <c r="BI49" s="9"/>
      <c r="BJ49" s="9"/>
      <c r="BK49" s="9"/>
      <c r="BL49" s="9"/>
      <c r="BM49" s="9"/>
      <c r="BN49" s="9"/>
      <c r="BO49" s="9"/>
      <c r="BP49" s="9"/>
      <c r="BQ49" s="9"/>
      <c r="BR49" s="9"/>
      <c r="BS49" s="9"/>
    </row>
    <row r="50" spans="1:71" x14ac:dyDescent="0.25">
      <c r="A50" s="80"/>
      <c r="B50" s="80"/>
      <c r="C50" s="80"/>
      <c r="D50" s="80"/>
      <c r="E50" s="80"/>
      <c r="F50" s="80"/>
      <c r="G50" s="80"/>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38"/>
      <c r="AY50" s="9"/>
      <c r="AZ50" s="9"/>
      <c r="BA50" s="9"/>
      <c r="BB50" s="9"/>
      <c r="BC50" s="9"/>
      <c r="BD50" s="9"/>
      <c r="BE50" s="9"/>
      <c r="BF50" s="9"/>
      <c r="BG50" s="9"/>
      <c r="BH50" s="9"/>
      <c r="BI50" s="9"/>
      <c r="BJ50" s="9"/>
      <c r="BK50" s="9"/>
      <c r="BL50" s="9"/>
      <c r="BM50" s="9"/>
      <c r="BN50" s="9"/>
      <c r="BO50" s="9"/>
      <c r="BP50" s="9"/>
      <c r="BQ50" s="9"/>
      <c r="BR50" s="9"/>
      <c r="BS50" s="9"/>
    </row>
    <row r="51" spans="1:71" x14ac:dyDescent="0.25">
      <c r="A51" s="80"/>
      <c r="B51" s="80"/>
      <c r="C51" s="80"/>
      <c r="D51" s="80"/>
      <c r="E51" s="80"/>
      <c r="F51" s="80"/>
      <c r="G51" s="80"/>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38"/>
      <c r="AY51" s="9"/>
      <c r="AZ51" s="9"/>
      <c r="BA51" s="9"/>
      <c r="BB51" s="9"/>
      <c r="BC51" s="9"/>
      <c r="BD51" s="9"/>
      <c r="BE51" s="9"/>
      <c r="BF51" s="9"/>
      <c r="BG51" s="9"/>
      <c r="BH51" s="9"/>
      <c r="BI51" s="9"/>
      <c r="BJ51" s="9"/>
      <c r="BK51" s="9"/>
      <c r="BL51" s="9"/>
      <c r="BM51" s="9"/>
      <c r="BN51" s="9"/>
      <c r="BO51" s="9"/>
      <c r="BP51" s="9"/>
      <c r="BQ51" s="9"/>
      <c r="BR51" s="9"/>
      <c r="BS51" s="9"/>
    </row>
    <row r="52" spans="1:71" x14ac:dyDescent="0.25">
      <c r="A52" s="80"/>
      <c r="B52" s="80"/>
      <c r="C52" s="80"/>
      <c r="D52" s="80"/>
      <c r="E52" s="80"/>
      <c r="F52" s="80"/>
      <c r="G52" s="80"/>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38"/>
      <c r="AY52" s="9"/>
      <c r="AZ52" s="9"/>
      <c r="BA52" s="9"/>
      <c r="BB52" s="9"/>
      <c r="BC52" s="9"/>
      <c r="BD52" s="9"/>
      <c r="BE52" s="9"/>
      <c r="BF52" s="9"/>
      <c r="BG52" s="9"/>
      <c r="BH52" s="9"/>
      <c r="BI52" s="9"/>
      <c r="BJ52" s="9"/>
      <c r="BK52" s="9"/>
      <c r="BL52" s="9"/>
      <c r="BM52" s="9"/>
      <c r="BN52" s="9"/>
      <c r="BO52" s="9"/>
      <c r="BP52" s="9"/>
      <c r="BQ52" s="9"/>
      <c r="BR52" s="9"/>
      <c r="BS52" s="9"/>
    </row>
    <row r="53" spans="1:71" x14ac:dyDescent="0.25">
      <c r="A53" s="80"/>
      <c r="B53" s="80"/>
      <c r="C53" s="80"/>
      <c r="D53" s="80"/>
      <c r="E53" s="80"/>
      <c r="F53" s="80"/>
      <c r="G53" s="80"/>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38"/>
      <c r="AY53" s="9"/>
      <c r="AZ53" s="9"/>
      <c r="BA53" s="9"/>
      <c r="BB53" s="9"/>
      <c r="BC53" s="9"/>
      <c r="BD53" s="9"/>
      <c r="BE53" s="9"/>
      <c r="BF53" s="9"/>
      <c r="BG53" s="9"/>
      <c r="BH53" s="9"/>
      <c r="BI53" s="9"/>
      <c r="BJ53" s="9"/>
      <c r="BK53" s="9"/>
      <c r="BL53" s="9"/>
      <c r="BM53" s="9"/>
      <c r="BN53" s="9"/>
      <c r="BO53" s="9"/>
      <c r="BP53" s="9"/>
      <c r="BQ53" s="9"/>
      <c r="BR53" s="9"/>
      <c r="BS53" s="9"/>
    </row>
    <row r="54" spans="1:71" x14ac:dyDescent="0.25">
      <c r="A54" s="81" t="s">
        <v>69</v>
      </c>
      <c r="B54" s="80"/>
      <c r="C54" s="80"/>
      <c r="D54" s="80"/>
      <c r="E54" s="80"/>
      <c r="F54" s="80"/>
      <c r="G54" s="80"/>
      <c r="H54" s="9"/>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c r="AJ54" s="9"/>
      <c r="AK54" s="9"/>
      <c r="AL54" s="9"/>
      <c r="AM54" s="9"/>
      <c r="AN54" s="9"/>
      <c r="AO54" s="9"/>
      <c r="AP54" s="9"/>
      <c r="AQ54" s="9"/>
      <c r="AR54" s="9"/>
      <c r="AS54" s="9"/>
      <c r="AT54" s="9"/>
      <c r="AU54" s="9"/>
      <c r="AV54" s="9"/>
      <c r="AW54" s="9"/>
      <c r="AX54" s="38"/>
      <c r="AY54" s="9"/>
      <c r="AZ54" s="9"/>
      <c r="BA54" s="9"/>
      <c r="BB54" s="9"/>
      <c r="BC54" s="9"/>
      <c r="BD54" s="9"/>
      <c r="BE54" s="9"/>
      <c r="BF54" s="9"/>
      <c r="BG54" s="9"/>
      <c r="BH54" s="9"/>
      <c r="BI54" s="9"/>
      <c r="BJ54" s="9"/>
      <c r="BK54" s="9"/>
      <c r="BL54" s="9"/>
      <c r="BM54" s="9"/>
      <c r="BN54" s="9"/>
      <c r="BO54" s="9"/>
      <c r="BP54" s="9"/>
      <c r="BQ54" s="9"/>
      <c r="BR54" s="9"/>
      <c r="BS54" s="9"/>
    </row>
    <row r="55" spans="1:71" x14ac:dyDescent="0.25">
      <c r="A55" s="80"/>
      <c r="B55" s="89">
        <f>IF((((6000000000000000000*(B7^6))-(20000000000000000*(B7^5))+(20000000000000*(B7^4))-(6000000000*(B7^3))+(1000000*(B7^2))-(34.236*B7)+(0.5004))&gt;=0.9),(0.9),(((6000000000000000000*(B7^6))-(20000000000000000*(B7^5))+(20000000000000*(B7^4))-(6000000000*(B7^3))+(1000000*(B7^2))-(34.236*B7)+0.5004)))</f>
        <v>0.50124606248681103</v>
      </c>
      <c r="C55" s="80"/>
      <c r="D55" s="80"/>
      <c r="E55" s="80"/>
      <c r="F55" s="80"/>
      <c r="G55" s="80"/>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c r="AL55" s="9"/>
      <c r="AM55" s="9"/>
      <c r="AN55" s="9"/>
      <c r="AO55" s="9"/>
      <c r="AP55" s="9"/>
      <c r="AQ55" s="9"/>
      <c r="AR55" s="9"/>
      <c r="AS55" s="9"/>
      <c r="AT55" s="9"/>
      <c r="AU55" s="9"/>
      <c r="AV55" s="9"/>
      <c r="AW55" s="9"/>
      <c r="AX55" s="38"/>
      <c r="AY55" s="9"/>
      <c r="AZ55" s="9"/>
      <c r="BA55" s="9"/>
      <c r="BB55" s="9"/>
      <c r="BC55" s="9"/>
      <c r="BD55" s="9"/>
      <c r="BE55" s="9"/>
      <c r="BF55" s="9"/>
      <c r="BG55" s="9"/>
      <c r="BH55" s="9"/>
      <c r="BI55" s="9"/>
      <c r="BJ55" s="9"/>
      <c r="BK55" s="9"/>
      <c r="BL55" s="9"/>
      <c r="BM55" s="9"/>
      <c r="BN55" s="9"/>
      <c r="BO55" s="9"/>
      <c r="BP55" s="9"/>
      <c r="BQ55" s="9"/>
      <c r="BR55" s="9"/>
      <c r="BS55" s="9"/>
    </row>
    <row r="56" spans="1:71" x14ac:dyDescent="0.25">
      <c r="A56" s="9"/>
      <c r="B56" s="9"/>
      <c r="C56" s="9"/>
      <c r="D56" s="9"/>
      <c r="E56" s="9"/>
      <c r="F56" s="9"/>
      <c r="G56" s="9"/>
      <c r="H56" s="9"/>
      <c r="I56" s="9"/>
      <c r="J56" s="9"/>
      <c r="K56" s="9"/>
      <c r="L56" s="9"/>
      <c r="M56" s="9"/>
      <c r="N56" s="9"/>
      <c r="O56" s="9"/>
      <c r="P56" s="9"/>
      <c r="Q56" s="9"/>
      <c r="R56" s="9"/>
      <c r="S56" s="9"/>
      <c r="T56" s="9"/>
      <c r="U56" s="9"/>
      <c r="V56" s="9"/>
      <c r="W56" s="9"/>
      <c r="X56" s="9"/>
      <c r="Y56" s="9"/>
      <c r="Z56" s="9"/>
      <c r="AA56" s="9"/>
      <c r="AB56" s="9"/>
      <c r="AC56" s="9"/>
      <c r="AD56" s="9"/>
      <c r="AE56" s="9"/>
      <c r="AF56" s="9"/>
      <c r="AG56" s="9"/>
      <c r="AH56" s="9"/>
      <c r="AI56" s="9"/>
      <c r="AJ56" s="9"/>
      <c r="AK56" s="9"/>
      <c r="AL56" s="9"/>
      <c r="AM56" s="9"/>
      <c r="AN56" s="9"/>
      <c r="AO56" s="9"/>
      <c r="AP56" s="9"/>
      <c r="AQ56" s="9"/>
      <c r="AR56" s="9"/>
      <c r="AS56" s="9"/>
      <c r="AT56" s="9"/>
      <c r="AU56" s="9"/>
      <c r="AV56" s="9"/>
      <c r="AW56" s="9"/>
      <c r="AX56" s="38"/>
      <c r="AY56" s="9"/>
      <c r="AZ56" s="9"/>
      <c r="BA56" s="9"/>
      <c r="BB56" s="9"/>
      <c r="BC56" s="9"/>
      <c r="BD56" s="9"/>
      <c r="BE56" s="9"/>
      <c r="BF56" s="9"/>
      <c r="BG56" s="9"/>
      <c r="BH56" s="9"/>
      <c r="BI56" s="9"/>
      <c r="BJ56" s="9"/>
      <c r="BK56" s="9"/>
      <c r="BL56" s="9"/>
      <c r="BM56" s="9"/>
      <c r="BN56" s="9"/>
      <c r="BO56" s="9"/>
      <c r="BP56" s="9"/>
      <c r="BQ56" s="9"/>
      <c r="BR56" s="9"/>
      <c r="BS56" s="9"/>
    </row>
    <row r="57" spans="1:71" x14ac:dyDescent="0.25">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c r="AN57" s="9"/>
      <c r="AO57" s="9"/>
      <c r="AP57" s="9"/>
      <c r="AQ57" s="9"/>
      <c r="AR57" s="9"/>
      <c r="AS57" s="9"/>
      <c r="AT57" s="9"/>
      <c r="AU57" s="9"/>
      <c r="AV57" s="9"/>
      <c r="AW57" s="9"/>
      <c r="AX57" s="38"/>
      <c r="AY57" s="9"/>
      <c r="AZ57" s="9"/>
      <c r="BA57" s="9"/>
      <c r="BB57" s="9"/>
      <c r="BC57" s="9"/>
      <c r="BD57" s="9"/>
      <c r="BE57" s="9"/>
      <c r="BF57" s="9"/>
      <c r="BG57" s="9"/>
      <c r="BH57" s="9"/>
      <c r="BI57" s="9"/>
      <c r="BJ57" s="9"/>
      <c r="BK57" s="9"/>
      <c r="BL57" s="9"/>
      <c r="BM57" s="9"/>
      <c r="BN57" s="9"/>
      <c r="BO57" s="9"/>
      <c r="BP57" s="9"/>
      <c r="BQ57" s="9"/>
      <c r="BR57" s="9"/>
      <c r="BS57" s="9"/>
    </row>
    <row r="58" spans="1:71" x14ac:dyDescent="0.25">
      <c r="G58" s="9"/>
      <c r="H58" s="9"/>
      <c r="I58" s="9"/>
      <c r="J58" s="9"/>
      <c r="K58" s="9"/>
      <c r="L58" s="9"/>
      <c r="M58" s="9"/>
      <c r="N58" s="9"/>
      <c r="O58" s="9"/>
      <c r="P58" s="9"/>
      <c r="Q58" s="9"/>
      <c r="R58" s="9"/>
      <c r="S58" s="9"/>
      <c r="T58" s="9"/>
      <c r="U58" s="9"/>
      <c r="V58" s="9"/>
      <c r="W58" s="9"/>
      <c r="X58" s="9"/>
      <c r="Y58" s="9"/>
      <c r="Z58" s="9"/>
      <c r="AA58" s="9"/>
      <c r="AB58" s="9"/>
      <c r="AC58" s="9"/>
      <c r="AD58" s="9"/>
      <c r="AE58" s="9"/>
      <c r="AF58" s="9"/>
      <c r="AG58" s="9"/>
      <c r="AH58" s="9"/>
      <c r="AI58" s="9"/>
      <c r="AJ58" s="9"/>
      <c r="AK58" s="9"/>
      <c r="AL58" s="9"/>
      <c r="AM58" s="9"/>
      <c r="AN58" s="9"/>
      <c r="AO58" s="9"/>
      <c r="AP58" s="9"/>
      <c r="AQ58" s="9"/>
      <c r="AR58" s="9"/>
      <c r="AS58" s="9"/>
      <c r="AT58" s="9"/>
      <c r="AU58" s="9"/>
      <c r="AV58" s="9"/>
      <c r="AW58" s="9"/>
      <c r="AX58" s="38"/>
      <c r="AY58" s="9"/>
      <c r="AZ58" s="9"/>
      <c r="BA58" s="9"/>
      <c r="BB58" s="9"/>
      <c r="BC58" s="9"/>
      <c r="BD58" s="9"/>
      <c r="BE58" s="9"/>
      <c r="BF58" s="9"/>
      <c r="BG58" s="9"/>
      <c r="BH58" s="9"/>
      <c r="BI58" s="9"/>
      <c r="BJ58" s="9"/>
      <c r="BK58" s="9"/>
      <c r="BL58" s="9"/>
      <c r="BM58" s="9"/>
      <c r="BN58" s="9"/>
      <c r="BO58" s="9"/>
      <c r="BP58" s="9"/>
      <c r="BQ58" s="9"/>
      <c r="BR58" s="9"/>
      <c r="BS58" s="9"/>
    </row>
    <row r="59" spans="1:71" x14ac:dyDescent="0.25">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38"/>
      <c r="AY59" s="9"/>
      <c r="AZ59" s="9"/>
      <c r="BA59" s="9"/>
      <c r="BB59" s="9"/>
      <c r="BC59" s="9"/>
      <c r="BD59" s="9"/>
      <c r="BE59" s="9"/>
      <c r="BF59" s="9"/>
      <c r="BG59" s="9"/>
      <c r="BH59" s="9"/>
      <c r="BI59" s="9"/>
      <c r="BJ59" s="9"/>
      <c r="BK59" s="9"/>
      <c r="BL59" s="9"/>
      <c r="BM59" s="9"/>
      <c r="BN59" s="9"/>
      <c r="BO59" s="9"/>
      <c r="BP59" s="9"/>
      <c r="BQ59" s="9"/>
      <c r="BR59" s="9"/>
      <c r="BS59" s="9"/>
    </row>
    <row r="60" spans="1:71" x14ac:dyDescent="0.25">
      <c r="A60" s="9"/>
      <c r="B60" s="9"/>
      <c r="C60" s="9"/>
      <c r="D60" s="9"/>
      <c r="E60" s="9"/>
      <c r="F60" s="9"/>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c r="AL60" s="9"/>
      <c r="AM60" s="9"/>
      <c r="AN60" s="9"/>
      <c r="AO60" s="9"/>
      <c r="AP60" s="9"/>
      <c r="AQ60" s="9"/>
      <c r="AR60" s="9"/>
      <c r="AS60" s="9"/>
      <c r="AT60" s="9"/>
      <c r="AU60" s="9"/>
      <c r="AV60" s="9"/>
      <c r="AW60" s="9"/>
      <c r="AX60" s="38"/>
      <c r="AY60" s="9"/>
      <c r="AZ60" s="9"/>
      <c r="BA60" s="9"/>
      <c r="BB60" s="9"/>
      <c r="BC60" s="9"/>
      <c r="BD60" s="9"/>
      <c r="BE60" s="9"/>
      <c r="BF60" s="9"/>
      <c r="BG60" s="9"/>
      <c r="BH60" s="9"/>
      <c r="BI60" s="9"/>
      <c r="BJ60" s="9"/>
      <c r="BK60" s="9"/>
      <c r="BL60" s="9"/>
      <c r="BM60" s="9"/>
      <c r="BN60" s="9"/>
      <c r="BO60" s="9"/>
      <c r="BP60" s="9"/>
      <c r="BQ60" s="9"/>
      <c r="BR60" s="9"/>
      <c r="BS60" s="9"/>
    </row>
    <row r="61" spans="1:71" x14ac:dyDescent="0.25">
      <c r="A61" s="9"/>
      <c r="B61" s="9"/>
      <c r="C61" s="9"/>
      <c r="D61" s="9"/>
      <c r="E61" s="9"/>
      <c r="F61" s="9"/>
      <c r="G61" s="9"/>
      <c r="H61" s="9"/>
      <c r="I61" s="9"/>
      <c r="J61" s="9"/>
      <c r="K61" s="9"/>
      <c r="L61" s="9"/>
      <c r="M61" s="9"/>
      <c r="N61" s="9"/>
      <c r="O61" s="9"/>
      <c r="P61" s="9"/>
      <c r="Q61" s="9"/>
      <c r="R61" s="9"/>
      <c r="S61" s="9"/>
      <c r="T61" s="9"/>
      <c r="U61" s="9"/>
      <c r="V61" s="9"/>
      <c r="W61" s="9"/>
      <c r="X61" s="9"/>
      <c r="Y61" s="9"/>
      <c r="Z61" s="9"/>
      <c r="AA61" s="9"/>
      <c r="AB61" s="9"/>
      <c r="AC61" s="9"/>
      <c r="AD61" s="9"/>
      <c r="AE61" s="9"/>
      <c r="AF61" s="9"/>
      <c r="AG61" s="9"/>
      <c r="AH61" s="9"/>
      <c r="AI61" s="9"/>
      <c r="AJ61" s="9"/>
      <c r="AK61" s="9"/>
      <c r="AL61" s="9"/>
      <c r="AM61" s="9"/>
      <c r="AN61" s="9"/>
      <c r="AO61" s="9"/>
      <c r="AP61" s="9"/>
      <c r="AQ61" s="9"/>
      <c r="AR61" s="9"/>
      <c r="AS61" s="9"/>
      <c r="AT61" s="9"/>
      <c r="AU61" s="9"/>
      <c r="AV61" s="9"/>
      <c r="AW61" s="9"/>
      <c r="AX61" s="38"/>
      <c r="AY61" s="9"/>
      <c r="AZ61" s="9"/>
      <c r="BA61" s="9"/>
      <c r="BB61" s="9"/>
      <c r="BC61" s="9"/>
      <c r="BD61" s="9"/>
      <c r="BE61" s="9"/>
      <c r="BF61" s="9"/>
      <c r="BG61" s="9"/>
      <c r="BH61" s="9"/>
      <c r="BI61" s="9"/>
      <c r="BJ61" s="9"/>
      <c r="BK61" s="9"/>
      <c r="BL61" s="9"/>
      <c r="BM61" s="9"/>
      <c r="BN61" s="9"/>
      <c r="BO61" s="9"/>
      <c r="BP61" s="9"/>
      <c r="BQ61" s="9"/>
      <c r="BR61" s="9"/>
      <c r="BS61" s="9"/>
    </row>
    <row r="62" spans="1:71" x14ac:dyDescent="0.25">
      <c r="A62" s="9"/>
      <c r="B62" s="9"/>
      <c r="C62" s="9"/>
      <c r="D62" s="9"/>
      <c r="E62" s="9"/>
      <c r="F62" s="9"/>
      <c r="G62" s="9"/>
      <c r="H62" s="9"/>
      <c r="I62" s="9"/>
      <c r="J62" s="9"/>
      <c r="K62" s="9"/>
      <c r="L62" s="9"/>
      <c r="M62" s="9"/>
      <c r="N62" s="9"/>
      <c r="O62" s="9"/>
      <c r="P62" s="9"/>
      <c r="Q62" s="9"/>
      <c r="R62" s="9"/>
      <c r="S62" s="9"/>
      <c r="T62" s="9"/>
      <c r="U62" s="9"/>
      <c r="V62" s="9"/>
      <c r="W62" s="9"/>
      <c r="X62" s="9"/>
      <c r="Y62" s="9"/>
      <c r="Z62" s="9"/>
      <c r="AA62" s="9"/>
      <c r="AB62" s="9"/>
      <c r="AC62" s="9"/>
      <c r="AD62" s="9"/>
      <c r="AE62" s="9"/>
      <c r="AF62" s="9"/>
      <c r="AG62" s="9"/>
      <c r="AH62" s="9"/>
      <c r="AI62" s="9"/>
      <c r="AJ62" s="9"/>
      <c r="AK62" s="9"/>
      <c r="AL62" s="9"/>
      <c r="AM62" s="9"/>
      <c r="AN62" s="9"/>
      <c r="AO62" s="9"/>
      <c r="AP62" s="9"/>
      <c r="AQ62" s="9"/>
      <c r="AR62" s="9"/>
      <c r="AS62" s="9"/>
      <c r="AT62" s="9"/>
      <c r="AU62" s="9"/>
      <c r="AV62" s="9"/>
      <c r="AW62" s="9"/>
      <c r="AX62" s="38"/>
      <c r="AY62" s="9"/>
      <c r="AZ62" s="9"/>
      <c r="BA62" s="9"/>
      <c r="BB62" s="9"/>
      <c r="BC62" s="9"/>
      <c r="BD62" s="9"/>
      <c r="BE62" s="9"/>
      <c r="BF62" s="9"/>
      <c r="BG62" s="9"/>
      <c r="BH62" s="9"/>
      <c r="BI62" s="9"/>
      <c r="BJ62" s="9"/>
      <c r="BK62" s="9"/>
      <c r="BL62" s="9"/>
      <c r="BM62" s="9"/>
      <c r="BN62" s="9"/>
      <c r="BO62" s="9"/>
      <c r="BP62" s="9"/>
      <c r="BQ62" s="9"/>
      <c r="BR62" s="9"/>
      <c r="BS62" s="9"/>
    </row>
    <row r="63" spans="1:71" x14ac:dyDescent="0.25">
      <c r="A63" s="9"/>
      <c r="B63" s="9"/>
      <c r="C63" s="9"/>
      <c r="D63" s="9"/>
      <c r="E63" s="9"/>
      <c r="F63" s="9"/>
      <c r="G63" s="9"/>
      <c r="H63" s="9"/>
      <c r="I63" s="9"/>
      <c r="J63" s="9"/>
      <c r="K63" s="9"/>
      <c r="L63" s="9"/>
      <c r="M63" s="9"/>
      <c r="N63" s="9"/>
      <c r="O63" s="9"/>
      <c r="P63" s="9"/>
      <c r="Q63" s="9"/>
      <c r="R63" s="9"/>
      <c r="S63" s="9"/>
      <c r="T63" s="9"/>
      <c r="U63" s="9"/>
      <c r="V63" s="9"/>
      <c r="W63" s="9"/>
      <c r="X63" s="9"/>
      <c r="Y63" s="9"/>
      <c r="Z63" s="9"/>
      <c r="AA63" s="9"/>
      <c r="AB63" s="9"/>
      <c r="AC63" s="9"/>
      <c r="AD63" s="9"/>
      <c r="AE63" s="9"/>
      <c r="AF63" s="9"/>
      <c r="AG63" s="9"/>
      <c r="AH63" s="9"/>
      <c r="AI63" s="9"/>
      <c r="AJ63" s="9"/>
      <c r="AK63" s="9"/>
      <c r="AL63" s="9"/>
      <c r="AM63" s="9"/>
      <c r="AN63" s="9"/>
      <c r="AO63" s="9"/>
      <c r="AP63" s="9"/>
      <c r="AQ63" s="9"/>
      <c r="AR63" s="9"/>
      <c r="AS63" s="9"/>
      <c r="AT63" s="9"/>
      <c r="AU63" s="9"/>
      <c r="AV63" s="9"/>
      <c r="AW63" s="9"/>
      <c r="AX63" s="38"/>
      <c r="AY63" s="9"/>
      <c r="AZ63" s="9"/>
      <c r="BA63" s="9"/>
      <c r="BB63" s="9"/>
      <c r="BC63" s="9"/>
      <c r="BD63" s="9"/>
      <c r="BE63" s="9"/>
      <c r="BF63" s="9"/>
      <c r="BG63" s="9"/>
      <c r="BH63" s="9"/>
      <c r="BI63" s="9"/>
      <c r="BJ63" s="9"/>
      <c r="BK63" s="9"/>
      <c r="BL63" s="9"/>
      <c r="BM63" s="9"/>
      <c r="BN63" s="9"/>
      <c r="BO63" s="9"/>
      <c r="BP63" s="9"/>
      <c r="BQ63" s="9"/>
      <c r="BR63" s="9"/>
      <c r="BS63" s="9"/>
    </row>
    <row r="64" spans="1:71" x14ac:dyDescent="0.25">
      <c r="A64" s="9"/>
      <c r="B64" s="9"/>
      <c r="C64" s="9"/>
      <c r="D64" s="9"/>
      <c r="E64" s="9"/>
      <c r="F64" s="9"/>
      <c r="G64" s="9"/>
      <c r="H64" s="9"/>
      <c r="I64" s="9"/>
      <c r="J64" s="9"/>
      <c r="K64" s="9"/>
      <c r="L64" s="9"/>
      <c r="M64" s="9"/>
      <c r="N64" s="9"/>
      <c r="O64" s="9"/>
      <c r="P64" s="9"/>
      <c r="Q64" s="9"/>
      <c r="R64" s="9"/>
      <c r="S64" s="9"/>
      <c r="T64" s="9"/>
      <c r="U64" s="9"/>
      <c r="V64" s="9"/>
      <c r="W64" s="9"/>
      <c r="X64" s="9"/>
      <c r="Y64" s="9"/>
      <c r="Z64" s="9"/>
      <c r="AA64" s="9"/>
      <c r="AB64" s="9"/>
      <c r="AC64" s="9"/>
      <c r="AD64" s="9"/>
      <c r="AE64" s="9"/>
      <c r="AF64" s="9"/>
      <c r="AG64" s="9"/>
      <c r="AH64" s="9"/>
      <c r="AI64" s="9"/>
      <c r="AJ64" s="9"/>
      <c r="AK64" s="9"/>
      <c r="AL64" s="9"/>
      <c r="AM64" s="9"/>
      <c r="AN64" s="9"/>
      <c r="AO64" s="9"/>
      <c r="AP64" s="9"/>
      <c r="AQ64" s="9"/>
      <c r="AR64" s="9"/>
      <c r="AS64" s="9"/>
      <c r="AT64" s="9"/>
      <c r="AU64" s="9"/>
      <c r="AV64" s="9"/>
      <c r="AW64" s="9"/>
      <c r="AX64" s="38"/>
      <c r="AY64" s="9"/>
      <c r="AZ64" s="9"/>
      <c r="BA64" s="9"/>
      <c r="BB64" s="9"/>
      <c r="BC64" s="9"/>
      <c r="BD64" s="9"/>
      <c r="BE64" s="9"/>
      <c r="BF64" s="9"/>
      <c r="BG64" s="9"/>
      <c r="BH64" s="9"/>
      <c r="BI64" s="9"/>
      <c r="BJ64" s="9"/>
      <c r="BK64" s="9"/>
      <c r="BL64" s="9"/>
      <c r="BM64" s="9"/>
      <c r="BN64" s="9"/>
      <c r="BO64" s="9"/>
      <c r="BP64" s="9"/>
      <c r="BQ64" s="9"/>
      <c r="BR64" s="9"/>
      <c r="BS64" s="9"/>
    </row>
    <row r="68" spans="11:11" x14ac:dyDescent="0.25">
      <c r="K68" t="s">
        <v>31</v>
      </c>
    </row>
  </sheetData>
  <sheetProtection formatCells="0" formatColumns="0" formatRows="0" insertRows="0"/>
  <sortState ref="BE18:BG29">
    <sortCondition ref="BF18"/>
  </sortState>
  <mergeCells count="5">
    <mergeCell ref="BH17:BH18"/>
    <mergeCell ref="BG16:BG18"/>
    <mergeCell ref="D9:E9"/>
    <mergeCell ref="AZ1:BA1"/>
    <mergeCell ref="D11:G11"/>
  </mergeCells>
  <dataValidations disablePrompts="1" count="1">
    <dataValidation type="list" allowBlank="1" showInputMessage="1" showErrorMessage="1" sqref="B2">
      <formula1>$BI$1:$BI$11</formula1>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disablePrompts="1" count="1">
        <x14:dataValidation type="custom" allowBlank="1" showInputMessage="1" showErrorMessage="1">
          <x14:formula1>
            <xm:f>'BMP Selection'!C2</xm:f>
          </x14:formula1>
          <xm:sqref>B5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0"/>
  <sheetViews>
    <sheetView zoomScale="110" zoomScaleNormal="110" workbookViewId="0">
      <selection activeCell="E3" sqref="E3"/>
    </sheetView>
  </sheetViews>
  <sheetFormatPr defaultRowHeight="15" x14ac:dyDescent="0.25"/>
  <cols>
    <col min="1" max="1" width="26" customWidth="1"/>
    <col min="2" max="2" width="12.5703125" customWidth="1"/>
    <col min="6" max="6" width="11.42578125" customWidth="1"/>
    <col min="40" max="45" width="0" hidden="1" customWidth="1"/>
    <col min="46" max="46" width="15.7109375" customWidth="1"/>
    <col min="47" max="48" width="9.140625" customWidth="1"/>
  </cols>
  <sheetData>
    <row r="1" spans="1:47" ht="30" x14ac:dyDescent="0.25">
      <c r="A1" s="79" t="s">
        <v>75</v>
      </c>
      <c r="B1" s="94" t="s">
        <v>74</v>
      </c>
      <c r="AK1" s="34" t="s">
        <v>28</v>
      </c>
      <c r="AL1" s="9" t="s">
        <v>27</v>
      </c>
      <c r="AO1" t="s">
        <v>68</v>
      </c>
      <c r="AU1" t="s">
        <v>16</v>
      </c>
    </row>
    <row r="2" spans="1:47" ht="30" x14ac:dyDescent="0.25">
      <c r="A2" s="79" t="s">
        <v>32</v>
      </c>
      <c r="B2" s="55">
        <v>0.1</v>
      </c>
      <c r="AK2" s="9">
        <v>1E-4</v>
      </c>
      <c r="AL2" s="32">
        <f>0.4106*AK2 + 0.4962</f>
        <v>0.49624105999999996</v>
      </c>
      <c r="AO2" s="1" t="s">
        <v>66</v>
      </c>
      <c r="AT2" t="s">
        <v>4</v>
      </c>
      <c r="AU2" s="3">
        <f>'BMP Selection'!AR3*62.4</f>
        <v>87.36</v>
      </c>
    </row>
    <row r="3" spans="1:47" ht="30" x14ac:dyDescent="0.25">
      <c r="A3" s="79" t="s">
        <v>30</v>
      </c>
      <c r="B3" s="57">
        <v>11.39</v>
      </c>
      <c r="AK3" s="9">
        <v>1E-3</v>
      </c>
      <c r="AL3" s="32">
        <f t="shared" ref="AL3:AL15" si="0">0.4106*AK3 + 0.4962</f>
        <v>0.49661059999999996</v>
      </c>
      <c r="AO3" t="s">
        <v>67</v>
      </c>
      <c r="AT3" t="s">
        <v>10</v>
      </c>
      <c r="AU3" s="3">
        <f>'BMP Selection'!AR4*62.4</f>
        <v>102.96</v>
      </c>
    </row>
    <row r="4" spans="1:47" ht="15" customHeight="1" x14ac:dyDescent="0.25">
      <c r="A4" s="68" t="s">
        <v>113</v>
      </c>
      <c r="B4" s="64">
        <f>IF(B1="Gravel (η=40%)",(B2*0.4)/(B3),B2/(B3))</f>
        <v>3.5118525021949083E-3</v>
      </c>
      <c r="D4" s="75"/>
      <c r="E4" s="75"/>
      <c r="F4" s="75"/>
      <c r="G4" s="75"/>
      <c r="AK4" s="9">
        <v>1E-3</v>
      </c>
      <c r="AL4" s="32">
        <f t="shared" si="0"/>
        <v>0.49661059999999996</v>
      </c>
      <c r="AT4" t="s">
        <v>11</v>
      </c>
      <c r="AU4" s="3">
        <f>'BMP Selection'!AR5*62.4</f>
        <v>106.08</v>
      </c>
    </row>
    <row r="5" spans="1:47" x14ac:dyDescent="0.25">
      <c r="A5" s="58" t="s">
        <v>33</v>
      </c>
      <c r="B5" s="61" t="str">
        <f>'BMP Selection'!$C$2</f>
        <v>Silt Loam</v>
      </c>
      <c r="D5" s="75"/>
      <c r="E5" s="75"/>
      <c r="F5" s="75"/>
      <c r="G5" s="75"/>
      <c r="AK5" s="9">
        <v>0.01</v>
      </c>
      <c r="AL5" s="32">
        <f t="shared" si="0"/>
        <v>0.50030600000000003</v>
      </c>
      <c r="AT5" t="s">
        <v>8</v>
      </c>
      <c r="AU5" s="3">
        <f>'BMP Selection'!AR6*62.4</f>
        <v>112.32</v>
      </c>
    </row>
    <row r="6" spans="1:47" x14ac:dyDescent="0.25">
      <c r="A6" s="61" t="s">
        <v>142</v>
      </c>
      <c r="B6" s="63">
        <f>IF($B$5="clay",AU2,IF($B$5="clay loam",AU3,IF($B$5="Loam",AU4,IF($B$5="Loamy Sand",AU5,IF($B$5="Sand",AU6,IF($B$5="Sandy Clay",AU7,IF($B$5="Sandy Clay Loam",AU8,IF($B$5="Sandy Loam",AU9,IF($B$5="silt",AU10,IF($B$5="Silt Loam",AU11,IF($B$5="Silty Clay",AU12,IF($B$5="Silty Clay Loam",AU13,100))))))))))))</f>
        <v>96.72</v>
      </c>
      <c r="D6" s="75"/>
      <c r="E6" s="75"/>
      <c r="F6" s="75"/>
      <c r="G6" s="75"/>
      <c r="AK6" s="9">
        <v>0.1</v>
      </c>
      <c r="AL6" s="32">
        <f t="shared" si="0"/>
        <v>0.53725999999999996</v>
      </c>
      <c r="AT6" t="s">
        <v>9</v>
      </c>
      <c r="AU6" s="3">
        <f>'BMP Selection'!AR7*62.4</f>
        <v>112.32</v>
      </c>
    </row>
    <row r="7" spans="1:47" ht="30" x14ac:dyDescent="0.25">
      <c r="A7" s="58" t="s">
        <v>70</v>
      </c>
      <c r="B7" s="66">
        <f>('BMP Selection'!C1*2000)/'Infiltration Trench'!B6</f>
        <v>983.91232423490487</v>
      </c>
      <c r="AK7" s="9">
        <v>0.2</v>
      </c>
      <c r="AL7" s="32">
        <f t="shared" si="0"/>
        <v>0.57831999999999995</v>
      </c>
      <c r="AT7" t="s">
        <v>5</v>
      </c>
      <c r="AU7" s="3">
        <f>'BMP Selection'!AR8*62.4</f>
        <v>99.84</v>
      </c>
    </row>
    <row r="8" spans="1:47" x14ac:dyDescent="0.25">
      <c r="A8" s="58" t="s">
        <v>71</v>
      </c>
      <c r="B8" s="66">
        <f>IF(B4&lt;=1,((0.4267*B4)+0.4932),0.9)</f>
        <v>0.49469850746268662</v>
      </c>
      <c r="AK8" s="9">
        <v>0.3</v>
      </c>
      <c r="AL8" s="32">
        <f t="shared" si="0"/>
        <v>0.61937999999999993</v>
      </c>
      <c r="AT8" t="s">
        <v>6</v>
      </c>
      <c r="AU8" s="3">
        <f>'BMP Selection'!AR9*62.4</f>
        <v>106.08</v>
      </c>
    </row>
    <row r="9" spans="1:47" ht="30" x14ac:dyDescent="0.25">
      <c r="A9" s="58" t="s">
        <v>72</v>
      </c>
      <c r="B9" s="67">
        <f>B7*B8</f>
        <v>486.73995827315042</v>
      </c>
      <c r="AE9" s="8"/>
      <c r="AK9" s="9">
        <v>0.4</v>
      </c>
      <c r="AL9" s="32">
        <f t="shared" si="0"/>
        <v>0.66044000000000003</v>
      </c>
      <c r="AT9" t="s">
        <v>7</v>
      </c>
      <c r="AU9" s="3">
        <f>'BMP Selection'!AR10*62.4</f>
        <v>109.2</v>
      </c>
    </row>
    <row r="10" spans="1:47" ht="30" x14ac:dyDescent="0.25">
      <c r="A10" s="58" t="s">
        <v>73</v>
      </c>
      <c r="B10" s="65">
        <f>IF((B2*0.8)/(B9/43560)&gt;50,"&gt;50",(B2*0.8)/(B9/43560))</f>
        <v>7.1594697348525234</v>
      </c>
      <c r="D10" s="53" t="s">
        <v>106</v>
      </c>
      <c r="AK10" s="9">
        <v>0.5</v>
      </c>
      <c r="AL10" s="32">
        <f t="shared" si="0"/>
        <v>0.70150000000000001</v>
      </c>
      <c r="AT10" t="s">
        <v>15</v>
      </c>
      <c r="AU10" s="3">
        <f>'BMP Selection'!AR11*62.4</f>
        <v>96.72</v>
      </c>
    </row>
    <row r="11" spans="1:47" x14ac:dyDescent="0.25">
      <c r="A11" s="45"/>
      <c r="B11" s="15"/>
      <c r="AK11" s="9">
        <v>0.6</v>
      </c>
      <c r="AL11" s="32">
        <f t="shared" si="0"/>
        <v>0.74256</v>
      </c>
      <c r="AT11" t="s">
        <v>14</v>
      </c>
      <c r="AU11" s="3">
        <f>'BMP Selection'!AR12*62.4</f>
        <v>96.72</v>
      </c>
    </row>
    <row r="12" spans="1:47" x14ac:dyDescent="0.25">
      <c r="B12" s="3"/>
      <c r="AK12" s="9">
        <v>0.7</v>
      </c>
      <c r="AL12" s="32">
        <f t="shared" si="0"/>
        <v>0.78361999999999998</v>
      </c>
      <c r="AT12" t="s">
        <v>12</v>
      </c>
      <c r="AU12" s="3">
        <f>'BMP Selection'!AR13*62.4</f>
        <v>90.47999999999999</v>
      </c>
    </row>
    <row r="13" spans="1:47" x14ac:dyDescent="0.25">
      <c r="AK13" s="9">
        <v>0.8</v>
      </c>
      <c r="AL13" s="32">
        <f t="shared" si="0"/>
        <v>0.82468000000000008</v>
      </c>
      <c r="AT13" t="s">
        <v>13</v>
      </c>
      <c r="AU13" s="3">
        <f>'BMP Selection'!AR14*62.4</f>
        <v>93.6</v>
      </c>
    </row>
    <row r="14" spans="1:47" ht="15" customHeight="1" x14ac:dyDescent="0.25">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K14" s="9">
        <v>0.9</v>
      </c>
      <c r="AL14" s="32">
        <f t="shared" si="0"/>
        <v>0.86573999999999995</v>
      </c>
    </row>
    <row r="15" spans="1:47" x14ac:dyDescent="0.25">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K15" s="9">
        <v>1</v>
      </c>
      <c r="AL15" s="32">
        <f t="shared" si="0"/>
        <v>0.90680000000000005</v>
      </c>
    </row>
    <row r="16" spans="1:47" x14ac:dyDescent="0.25">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K16" s="9"/>
    </row>
    <row r="17" spans="8:48" x14ac:dyDescent="0.25">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K17" s="9"/>
    </row>
    <row r="18" spans="8:48" x14ac:dyDescent="0.25">
      <c r="H18" s="1"/>
      <c r="I18" s="1"/>
      <c r="J18" s="1"/>
      <c r="K18" s="1"/>
      <c r="L18" s="1"/>
      <c r="M18" s="1"/>
      <c r="N18" s="1"/>
      <c r="O18" s="1"/>
      <c r="P18" s="1"/>
      <c r="Q18" s="1"/>
      <c r="R18" s="1"/>
      <c r="S18" s="1"/>
      <c r="T18" s="1"/>
      <c r="U18" s="1"/>
      <c r="V18" s="1"/>
      <c r="W18" s="1"/>
      <c r="X18" s="1"/>
      <c r="Y18" s="1"/>
      <c r="Z18" s="1"/>
      <c r="AA18" s="1"/>
      <c r="AB18" s="1"/>
      <c r="AC18" s="1"/>
      <c r="AD18" s="1"/>
      <c r="AE18" s="1"/>
      <c r="AF18" s="1"/>
      <c r="AG18" s="1"/>
      <c r="AH18" s="1"/>
    </row>
    <row r="21" spans="8:48" x14ac:dyDescent="0.25">
      <c r="AR21" s="171" t="s">
        <v>2</v>
      </c>
      <c r="AS21" s="171"/>
      <c r="AT21" s="171"/>
      <c r="AU21" s="171"/>
      <c r="AV21" s="171"/>
    </row>
    <row r="22" spans="8:48" x14ac:dyDescent="0.25">
      <c r="AQ22" s="75" t="s">
        <v>35</v>
      </c>
      <c r="AR22" s="1"/>
      <c r="AS22" s="1"/>
      <c r="AT22" s="1"/>
      <c r="AU22" s="1"/>
      <c r="AV22" s="1"/>
    </row>
    <row r="23" spans="8:48" x14ac:dyDescent="0.25">
      <c r="AQ23" s="1"/>
      <c r="AR23" s="1"/>
      <c r="AS23" s="1"/>
      <c r="AT23" s="1"/>
      <c r="AU23" s="1"/>
      <c r="AV23" s="1"/>
    </row>
    <row r="24" spans="8:48" x14ac:dyDescent="0.25">
      <c r="AQ24" s="1"/>
      <c r="AR24" s="1"/>
      <c r="AS24" s="1"/>
      <c r="AT24" s="1"/>
      <c r="AU24" s="1"/>
      <c r="AV24" s="1"/>
    </row>
    <row r="25" spans="8:48" x14ac:dyDescent="0.25">
      <c r="AQ25" s="1"/>
      <c r="AR25" s="1"/>
      <c r="AS25" s="1"/>
      <c r="AT25" s="1"/>
      <c r="AU25" s="1"/>
      <c r="AV25" s="1"/>
    </row>
    <row r="26" spans="8:48" x14ac:dyDescent="0.25">
      <c r="AQ26" s="1"/>
      <c r="AR26" s="1"/>
      <c r="AS26" s="1"/>
      <c r="AT26" s="1"/>
      <c r="AU26" s="1"/>
      <c r="AV26" s="1"/>
    </row>
    <row r="30" spans="8:48" x14ac:dyDescent="0.25">
      <c r="AT30" s="170" t="s">
        <v>36</v>
      </c>
      <c r="AU30" s="170"/>
      <c r="AV30" s="170"/>
    </row>
  </sheetData>
  <sheetProtection formatCells="0" formatColumns="0" formatRows="0" insertRows="0"/>
  <sortState ref="AR2:AR13">
    <sortCondition ref="AR1"/>
  </sortState>
  <mergeCells count="2">
    <mergeCell ref="AT30:AV30"/>
    <mergeCell ref="AR21:AV21"/>
  </mergeCells>
  <dataValidations count="1">
    <dataValidation type="list" allowBlank="1" showInputMessage="1" showErrorMessage="1" sqref="B1">
      <formula1>$AO$2:$AO$3</formula1>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custom" allowBlank="1" showInputMessage="1" showErrorMessage="1">
          <x14:formula1>
            <xm:f>'BMP Selection'!C3</xm:f>
          </x14:formula1>
          <xm:sqref>B5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34"/>
  <sheetViews>
    <sheetView zoomScaleNormal="100" workbookViewId="0">
      <selection activeCell="G14" sqref="G14"/>
    </sheetView>
  </sheetViews>
  <sheetFormatPr defaultRowHeight="15" x14ac:dyDescent="0.25"/>
  <cols>
    <col min="1" max="1" width="24.42578125" bestFit="1" customWidth="1"/>
    <col min="2" max="2" width="11.140625" customWidth="1"/>
    <col min="5" max="5" width="18.28515625" customWidth="1"/>
    <col min="6" max="6" width="12" bestFit="1" customWidth="1"/>
    <col min="7" max="22" width="12" customWidth="1"/>
    <col min="34" max="34" width="15.28515625" bestFit="1" customWidth="1"/>
    <col min="37" max="37" width="16.140625" bestFit="1" customWidth="1"/>
    <col min="43" max="43" width="16.85546875" customWidth="1"/>
  </cols>
  <sheetData>
    <row r="1" spans="1:50" x14ac:dyDescent="0.25">
      <c r="A1" s="95" t="s">
        <v>81</v>
      </c>
      <c r="B1" s="95">
        <v>400</v>
      </c>
      <c r="AR1" t="s">
        <v>16</v>
      </c>
      <c r="AS1" t="s">
        <v>98</v>
      </c>
      <c r="AU1" s="21" t="s">
        <v>89</v>
      </c>
      <c r="AV1" s="21" t="s">
        <v>88</v>
      </c>
      <c r="AW1" s="54" t="s">
        <v>93</v>
      </c>
      <c r="AX1" t="s">
        <v>107</v>
      </c>
    </row>
    <row r="2" spans="1:50" x14ac:dyDescent="0.25">
      <c r="A2" s="95" t="s">
        <v>82</v>
      </c>
      <c r="B2" s="96">
        <v>0.04</v>
      </c>
      <c r="AQ2" t="s">
        <v>4</v>
      </c>
      <c r="AR2" s="3">
        <f>'BMP Selection'!AR3*62.4</f>
        <v>87.36</v>
      </c>
      <c r="AS2">
        <v>6.3584918788109606E-5</v>
      </c>
      <c r="AU2" s="73">
        <v>1</v>
      </c>
      <c r="AV2" s="74">
        <v>0.5</v>
      </c>
      <c r="AX2">
        <v>0.5</v>
      </c>
    </row>
    <row r="3" spans="1:50" x14ac:dyDescent="0.25">
      <c r="A3" s="95" t="s">
        <v>84</v>
      </c>
      <c r="B3" s="95">
        <v>20</v>
      </c>
      <c r="AQ3" t="s">
        <v>10</v>
      </c>
      <c r="AR3" s="3">
        <f>'BMP Selection'!AR4*62.4</f>
        <v>102.96</v>
      </c>
      <c r="AS3">
        <v>5.1761639596036588E-4</v>
      </c>
      <c r="AU3" s="73">
        <v>0.9</v>
      </c>
      <c r="AV3" s="74">
        <f>(((AU3-$AU$12)*(AV2-$AV$12))/(AU2-$AU$12))+$AV$12</f>
        <v>0.45299999999999996</v>
      </c>
      <c r="AX3">
        <v>1</v>
      </c>
    </row>
    <row r="4" spans="1:50" ht="30" x14ac:dyDescent="0.25">
      <c r="A4" s="97" t="s">
        <v>83</v>
      </c>
      <c r="B4" s="95">
        <v>0.7</v>
      </c>
      <c r="C4" t="s">
        <v>117</v>
      </c>
      <c r="D4">
        <f>IF(B4=1,AV2,IF(B4=0.9,AV3,IF(B4=0.8,AV4,IF(B4=0.7,AV5,IF(B4=0.6,AV6,IF(B4=0.5,AV7,IF(B4=0.4,AV8,IF(B4=0.3,AV9,IF(B4=0.2,AV10,IF(B4=0.1,AV11,AV12))))))))))</f>
        <v>0.35899999999999987</v>
      </c>
      <c r="AQ4" t="s">
        <v>11</v>
      </c>
      <c r="AR4" s="3">
        <f>'BMP Selection'!AR5*62.4</f>
        <v>106.08</v>
      </c>
      <c r="AS4">
        <v>6.5948674856029814E-3</v>
      </c>
      <c r="AU4" s="73">
        <v>0.8</v>
      </c>
      <c r="AV4" s="74">
        <f t="shared" ref="AV4:AV11" si="0">(((AU4-$AU$12)*(AV3-$AV$12))/(AU3-$AU$12))+$AV$12</f>
        <v>0.40599999999999992</v>
      </c>
      <c r="AX4">
        <v>1.5</v>
      </c>
    </row>
    <row r="5" spans="1:50" ht="45" x14ac:dyDescent="0.25">
      <c r="A5" s="97" t="s">
        <v>108</v>
      </c>
      <c r="B5" s="95">
        <v>2</v>
      </c>
      <c r="AQ5" t="s">
        <v>8</v>
      </c>
      <c r="AR5" s="3">
        <f>'BMP Selection'!AR6*62.4</f>
        <v>112.32</v>
      </c>
      <c r="AS5">
        <v>0.51984558000000014</v>
      </c>
      <c r="AU5" s="73">
        <v>0.7</v>
      </c>
      <c r="AV5" s="74">
        <f t="shared" si="0"/>
        <v>0.35899999999999987</v>
      </c>
      <c r="AX5">
        <v>2</v>
      </c>
    </row>
    <row r="6" spans="1:50" ht="30" x14ac:dyDescent="0.25">
      <c r="A6" s="97" t="s">
        <v>112</v>
      </c>
      <c r="B6" s="98">
        <v>0.6</v>
      </c>
      <c r="AQ6" t="s">
        <v>9</v>
      </c>
      <c r="AR6" s="3">
        <f>'BMP Selection'!AR7*62.4</f>
        <v>112.32</v>
      </c>
      <c r="AS6">
        <v>0.11259608355887937</v>
      </c>
      <c r="AU6" s="73">
        <v>0.6</v>
      </c>
      <c r="AV6" s="74">
        <f t="shared" si="0"/>
        <v>0.31199999999999983</v>
      </c>
      <c r="AX6">
        <v>2.5</v>
      </c>
    </row>
    <row r="7" spans="1:50" x14ac:dyDescent="0.25">
      <c r="A7" s="21" t="s">
        <v>109</v>
      </c>
      <c r="B7" s="22">
        <f>((B6)/IF(B10="clay",AS2,IF(B10="clay loam",AS3,IF(B10="loam",AS4,IF(B10="loamy sand",AS5,IF(B10="sand",AS6,IF(B10="sandy clay",AS7,IF(B10="sandy clay loam",AS8,IF(B10="sandy loam",AS9,IF(B10="silt",AS10,IF(B10="silt loam",AS11,IF(B10="silty clay",AS12,AS13))))))))))))</f>
        <v>389.38174770386553</v>
      </c>
      <c r="AQ7" t="s">
        <v>5</v>
      </c>
      <c r="AR7" s="3">
        <f>'BMP Selection'!AR8*62.4</f>
        <v>99.84</v>
      </c>
      <c r="AS7">
        <v>8.1007466999050343E-2</v>
      </c>
      <c r="AU7" s="73">
        <v>0.5</v>
      </c>
      <c r="AV7" s="74">
        <f t="shared" si="0"/>
        <v>0.26499999999999985</v>
      </c>
      <c r="AX7">
        <v>3</v>
      </c>
    </row>
    <row r="8" spans="1:50" x14ac:dyDescent="0.25">
      <c r="A8" s="21" t="s">
        <v>110</v>
      </c>
      <c r="B8" s="22">
        <f>IF( B6=0,(B1/((1.486/D4)*(((B3*0.01)/(B3+(2*0.01)))^(2/3))*(B2^0.5))),(B1/((1.486/D4)*(((B3*B6)/(B3+(2*B6)))^(2/3))*(B2^0.5))))</f>
        <v>706.11490368547481</v>
      </c>
      <c r="AQ8" t="s">
        <v>6</v>
      </c>
      <c r="AR8" s="3">
        <f>'BMP Selection'!AR9*62.4</f>
        <v>106.08</v>
      </c>
      <c r="AS8">
        <v>8.1007466999050343E-2</v>
      </c>
      <c r="AU8" s="73">
        <v>0.4</v>
      </c>
      <c r="AV8" s="74">
        <f t="shared" si="0"/>
        <v>0.21799999999999989</v>
      </c>
      <c r="AX8">
        <v>3.5</v>
      </c>
    </row>
    <row r="9" spans="1:50" x14ac:dyDescent="0.25">
      <c r="A9" s="21" t="s">
        <v>87</v>
      </c>
      <c r="B9" s="21">
        <f>B1*B3*(IF(B6=0,0.01,B6))</f>
        <v>4800</v>
      </c>
      <c r="AN9" s="72"/>
      <c r="AO9" s="72"/>
      <c r="AQ9" t="s">
        <v>7</v>
      </c>
      <c r="AR9" s="3">
        <f>'BMP Selection'!AR10*62.4</f>
        <v>109.2</v>
      </c>
      <c r="AS9">
        <v>0.10206654470560303</v>
      </c>
      <c r="AU9" s="73">
        <v>0.3</v>
      </c>
      <c r="AV9" s="74">
        <f t="shared" si="0"/>
        <v>0.1709999999999999</v>
      </c>
      <c r="AX9">
        <v>4</v>
      </c>
    </row>
    <row r="10" spans="1:50" x14ac:dyDescent="0.25">
      <c r="A10" s="58" t="s">
        <v>33</v>
      </c>
      <c r="B10" s="21" t="str">
        <f>'BMP Selection'!$C$2</f>
        <v>Silt Loam</v>
      </c>
      <c r="AN10" s="72"/>
      <c r="AO10" s="72"/>
      <c r="AQ10" t="s">
        <v>15</v>
      </c>
      <c r="AR10" s="3">
        <f>'BMP Selection'!AR11*62.4</f>
        <v>96.72</v>
      </c>
      <c r="AS10">
        <v>8.1000000000000003E-2</v>
      </c>
      <c r="AU10" s="73">
        <v>0.2</v>
      </c>
      <c r="AV10" s="74">
        <f t="shared" si="0"/>
        <v>0.12399999999999994</v>
      </c>
    </row>
    <row r="11" spans="1:50" x14ac:dyDescent="0.25">
      <c r="A11" s="61" t="s">
        <v>142</v>
      </c>
      <c r="B11" s="22">
        <f>IF($B$10="clay",AR2,IF($B$10="clay loam",AR3,IF($B$10="Loam",AR4,IF($B$10="Loamy Sand",AR5,IF($B$10="Sand",AR6,IF($B$10="Sandy Clay",AR7,IF($B$10="Sandy Clay Loam",AR8,IF($B$10="Sandy Loam",AR9,IF($B$10="silt",AR10,IF($B$10="Silt Loam",AR11,IF($B$10="Silty Clay",AR12,IF($B$10="Silty Clay Loam",AR13,"Please See Below For More Instructions"))))))))))))</f>
        <v>96.72</v>
      </c>
      <c r="E11" s="170"/>
      <c r="F11" s="170"/>
      <c r="G11" s="99"/>
      <c r="H11" s="99"/>
      <c r="I11" s="99"/>
      <c r="J11" s="99"/>
      <c r="K11" s="99"/>
      <c r="L11" s="99"/>
      <c r="M11" s="99"/>
      <c r="N11" s="99"/>
      <c r="O11" s="99"/>
      <c r="P11" s="99"/>
      <c r="Q11" s="99"/>
      <c r="R11" s="99"/>
      <c r="S11" s="99"/>
      <c r="T11" s="99"/>
      <c r="U11" s="99"/>
      <c r="V11" s="99"/>
      <c r="W11" s="52"/>
      <c r="Y11" s="51"/>
      <c r="AI11" s="52"/>
      <c r="AL11" s="52"/>
      <c r="AN11" s="72"/>
      <c r="AO11" s="72"/>
      <c r="AQ11" t="s">
        <v>14</v>
      </c>
      <c r="AR11" s="3">
        <f>'BMP Selection'!AR12*62.4</f>
        <v>96.72</v>
      </c>
      <c r="AS11">
        <v>1.5409042759146349E-3</v>
      </c>
      <c r="AU11" s="73">
        <v>0.1</v>
      </c>
      <c r="AV11" s="74">
        <f t="shared" si="0"/>
        <v>7.6999999999999971E-2</v>
      </c>
    </row>
    <row r="12" spans="1:50" ht="45" x14ac:dyDescent="0.25">
      <c r="A12" s="58" t="s">
        <v>70</v>
      </c>
      <c r="B12" s="69">
        <f>('BMP Selection'!C1*2000)/'Infiltration Trench'!B6</f>
        <v>983.91232423490487</v>
      </c>
      <c r="C12" s="4"/>
      <c r="W12" s="52"/>
      <c r="Y12" s="51"/>
      <c r="AI12" s="52"/>
      <c r="AL12" s="52"/>
      <c r="AN12" s="72"/>
      <c r="AO12" s="72"/>
      <c r="AQ12" t="s">
        <v>12</v>
      </c>
      <c r="AR12" s="3">
        <f>'BMP Selection'!AR13*62.4</f>
        <v>90.47999999999999</v>
      </c>
      <c r="AS12">
        <v>4.1964372256097712E-5</v>
      </c>
      <c r="AU12" s="73">
        <v>0</v>
      </c>
      <c r="AV12" s="74">
        <v>0.03</v>
      </c>
    </row>
    <row r="13" spans="1:50" x14ac:dyDescent="0.25">
      <c r="A13" s="58" t="s">
        <v>85</v>
      </c>
      <c r="B13" s="70">
        <f>IF((B8/B7)&lt;=0.77,(B8/B7),0.77)</f>
        <v>0.77</v>
      </c>
      <c r="C13" s="4"/>
      <c r="AI13" s="52"/>
      <c r="AL13" s="52"/>
      <c r="AN13" s="72"/>
      <c r="AO13" s="72"/>
      <c r="AQ13" t="s">
        <v>13</v>
      </c>
      <c r="AR13" s="3">
        <f>'BMP Selection'!AR14*62.4</f>
        <v>93.6</v>
      </c>
      <c r="AS13">
        <v>4.4554790752032508E-4</v>
      </c>
    </row>
    <row r="14" spans="1:50" ht="30" x14ac:dyDescent="0.25">
      <c r="A14" s="58" t="s">
        <v>86</v>
      </c>
      <c r="B14" s="69">
        <f>B12*B13</f>
        <v>757.6124896608768</v>
      </c>
      <c r="Y14" s="51"/>
      <c r="AI14" s="52"/>
      <c r="AL14" s="52"/>
      <c r="AN14" s="72"/>
      <c r="AO14" s="72"/>
    </row>
    <row r="15" spans="1:50" ht="30" x14ac:dyDescent="0.25">
      <c r="A15" s="58" t="s">
        <v>73</v>
      </c>
      <c r="B15" s="22">
        <f>IF(B9/B14&gt;50,"&gt;50",B9/B14)</f>
        <v>6.3356928053662109</v>
      </c>
      <c r="AI15" s="52"/>
      <c r="AL15" s="52"/>
      <c r="AN15" s="72"/>
      <c r="AO15" s="72"/>
    </row>
    <row r="16" spans="1:50" x14ac:dyDescent="0.25">
      <c r="W16" s="52"/>
      <c r="AI16" s="52"/>
      <c r="AL16" s="52"/>
      <c r="AN16" s="72"/>
      <c r="AO16" s="72"/>
    </row>
    <row r="17" spans="35:57" x14ac:dyDescent="0.25">
      <c r="AI17" s="52"/>
      <c r="AL17" s="52"/>
      <c r="AN17" s="72"/>
      <c r="AO17" s="72"/>
      <c r="AQ17" t="s">
        <v>77</v>
      </c>
      <c r="AU17" s="172" t="s">
        <v>79</v>
      </c>
    </row>
    <row r="18" spans="35:57" x14ac:dyDescent="0.25">
      <c r="AI18" s="52"/>
      <c r="AL18" s="52"/>
      <c r="AN18" s="72"/>
      <c r="AO18" s="72"/>
      <c r="AQ18" t="s">
        <v>78</v>
      </c>
      <c r="AU18" s="172"/>
    </row>
    <row r="19" spans="35:57" x14ac:dyDescent="0.25">
      <c r="AI19" s="52"/>
      <c r="AL19" s="52"/>
      <c r="AN19" s="72"/>
      <c r="AO19" s="72"/>
      <c r="AU19" s="172"/>
    </row>
    <row r="20" spans="35:57" x14ac:dyDescent="0.25">
      <c r="AI20" s="52"/>
      <c r="AL20" s="52"/>
      <c r="AN20" s="72"/>
      <c r="AO20" s="72"/>
      <c r="AU20" s="172"/>
    </row>
    <row r="21" spans="35:57" x14ac:dyDescent="0.25">
      <c r="AI21" s="52"/>
      <c r="AL21" s="52"/>
      <c r="AN21" s="72"/>
      <c r="AO21" s="72"/>
      <c r="AU21" s="172"/>
    </row>
    <row r="22" spans="35:57" x14ac:dyDescent="0.25">
      <c r="AI22" s="52"/>
      <c r="AL22" s="52"/>
      <c r="AN22" s="173"/>
      <c r="AO22" s="173"/>
      <c r="AU22" s="172"/>
    </row>
    <row r="23" spans="35:57" ht="15" customHeight="1" x14ac:dyDescent="0.25">
      <c r="AI23" s="52"/>
      <c r="AL23" s="52"/>
      <c r="AN23" s="173"/>
      <c r="AO23" s="173"/>
      <c r="AU23" s="172"/>
    </row>
    <row r="24" spans="35:57" x14ac:dyDescent="0.25">
      <c r="AI24" s="52"/>
      <c r="AL24" s="52"/>
      <c r="AN24" s="72"/>
      <c r="AO24" s="72"/>
      <c r="AU24" t="s">
        <v>80</v>
      </c>
      <c r="AV24" t="s">
        <v>91</v>
      </c>
      <c r="AY24">
        <f>((1.486/D4)*(((B3*B6)/(B3+(2*B6)))^(2/3))*(B2^0.5))</f>
        <v>0.56648004157999221</v>
      </c>
    </row>
    <row r="25" spans="35:57" x14ac:dyDescent="0.25">
      <c r="AI25" s="52"/>
      <c r="AN25" s="72"/>
      <c r="AO25" s="72"/>
      <c r="AV25" t="s">
        <v>92</v>
      </c>
    </row>
    <row r="26" spans="35:57" x14ac:dyDescent="0.25">
      <c r="AI26" s="52"/>
      <c r="AU26" t="s">
        <v>90</v>
      </c>
      <c r="AV26">
        <f>B1/((1.486/D4)*(((B3*B6)/(B3+(2*B6)))^(2/3))*(B2^0.5))</f>
        <v>706.11490368547481</v>
      </c>
    </row>
    <row r="27" spans="35:57" x14ac:dyDescent="0.25">
      <c r="AI27" s="52"/>
    </row>
    <row r="28" spans="35:57" x14ac:dyDescent="0.25">
      <c r="AI28" s="52"/>
    </row>
    <row r="29" spans="35:57" x14ac:dyDescent="0.25">
      <c r="AV29" s="71" t="s">
        <v>101</v>
      </c>
      <c r="AW29">
        <v>324.48478975322126</v>
      </c>
      <c r="AX29" s="172" t="s">
        <v>99</v>
      </c>
      <c r="AY29" s="172"/>
      <c r="AZ29" s="172"/>
      <c r="BA29" s="172"/>
      <c r="BB29" s="172"/>
      <c r="BC29" s="172"/>
      <c r="BD29" s="172"/>
      <c r="BE29" s="172"/>
    </row>
    <row r="30" spans="35:57" x14ac:dyDescent="0.25">
      <c r="AV30" t="s">
        <v>102</v>
      </c>
      <c r="AW30">
        <v>188.93318710044764</v>
      </c>
      <c r="AX30" s="172"/>
      <c r="AY30" s="172"/>
      <c r="AZ30" s="172"/>
      <c r="BA30" s="172"/>
      <c r="BB30" s="172"/>
      <c r="BC30" s="172"/>
      <c r="BD30" s="172"/>
      <c r="BE30" s="172"/>
    </row>
    <row r="31" spans="35:57" x14ac:dyDescent="0.25">
      <c r="AV31" t="s">
        <v>103</v>
      </c>
      <c r="AW31">
        <v>0.58225591173051905</v>
      </c>
      <c r="AX31" s="172"/>
      <c r="AY31" s="172"/>
      <c r="AZ31" s="172"/>
      <c r="BA31" s="172"/>
      <c r="BB31" s="172"/>
      <c r="BC31" s="172"/>
      <c r="BD31" s="172"/>
      <c r="BE31" s="172"/>
    </row>
    <row r="32" spans="35:57" x14ac:dyDescent="0.25">
      <c r="AX32" s="172"/>
      <c r="AY32" s="172"/>
      <c r="AZ32" s="172"/>
      <c r="BA32" s="172"/>
      <c r="BB32" s="172"/>
      <c r="BC32" s="172"/>
      <c r="BD32" s="172"/>
      <c r="BE32" s="172"/>
    </row>
    <row r="33" spans="37:49" x14ac:dyDescent="0.25">
      <c r="AV33" t="s">
        <v>100</v>
      </c>
      <c r="AW33" t="e">
        <f>IF(#REF!&lt;=0.77,#REF!,0.77)</f>
        <v>#REF!</v>
      </c>
    </row>
    <row r="34" spans="37:49" x14ac:dyDescent="0.25">
      <c r="AK34" s="50"/>
      <c r="AL34" s="50"/>
      <c r="AM34" s="50"/>
      <c r="AN34" s="50"/>
    </row>
  </sheetData>
  <sheetProtection formatCells="0" formatColumns="0" formatRows="0" insertColumns="0" insertRows="0"/>
  <mergeCells count="4">
    <mergeCell ref="AU17:AU23"/>
    <mergeCell ref="E11:F11"/>
    <mergeCell ref="AN22:AO23"/>
    <mergeCell ref="AX29:BE32"/>
  </mergeCells>
  <dataValidations count="2">
    <dataValidation type="list" allowBlank="1" showInputMessage="1" showErrorMessage="1" sqref="B4">
      <formula1>$AU$2:$AU$12</formula1>
    </dataValidation>
    <dataValidation type="list" allowBlank="1" showInputMessage="1" showErrorMessage="1" sqref="B5">
      <formula1>$AX$2:$AX$9</formula1>
    </dataValidation>
  </dataValidations>
  <pageMargins left="0.7" right="0.7" top="0.75" bottom="0.75" header="0.3" footer="0.3"/>
  <pageSetup orientation="portrait" horizontalDpi="4294967293" verticalDpi="4294967293"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40"/>
  <sheetViews>
    <sheetView zoomScaleNormal="100" workbookViewId="0">
      <selection activeCell="D11" sqref="D11"/>
    </sheetView>
  </sheetViews>
  <sheetFormatPr defaultRowHeight="15" x14ac:dyDescent="0.25"/>
  <cols>
    <col min="1" max="1" width="33.85546875" customWidth="1"/>
    <col min="2" max="2" width="11.140625" customWidth="1"/>
    <col min="5" max="5" width="18.28515625" customWidth="1"/>
    <col min="6" max="6" width="22.140625" customWidth="1"/>
    <col min="7" max="7" width="28.28515625" customWidth="1"/>
    <col min="8" max="22" width="12" customWidth="1"/>
    <col min="34" max="34" width="15.28515625" bestFit="1" customWidth="1"/>
    <col min="36" max="36" width="12" customWidth="1"/>
    <col min="37" max="37" width="16.140625" bestFit="1" customWidth="1"/>
    <col min="41" max="41" width="16.85546875" customWidth="1"/>
  </cols>
  <sheetData>
    <row r="1" spans="1:53" ht="15" customHeight="1" thickBot="1" x14ac:dyDescent="0.3">
      <c r="A1" s="95" t="s">
        <v>126</v>
      </c>
      <c r="B1" s="95">
        <v>250</v>
      </c>
      <c r="F1" s="174" t="s">
        <v>135</v>
      </c>
      <c r="G1" s="174"/>
      <c r="AJ1" s="127"/>
      <c r="AK1" s="128" t="s">
        <v>58</v>
      </c>
      <c r="AL1" s="134" t="s">
        <v>28</v>
      </c>
      <c r="AM1" s="135" t="s">
        <v>120</v>
      </c>
      <c r="AO1" s="127"/>
      <c r="AP1" s="140" t="s">
        <v>16</v>
      </c>
      <c r="AQ1" s="141" t="s">
        <v>98</v>
      </c>
      <c r="AS1" s="146" t="s">
        <v>89</v>
      </c>
      <c r="AT1" s="147" t="s">
        <v>88</v>
      </c>
      <c r="AU1" s="54" t="s">
        <v>93</v>
      </c>
      <c r="AV1" s="153" t="s">
        <v>107</v>
      </c>
      <c r="AY1" s="90" t="s">
        <v>62</v>
      </c>
      <c r="AZ1" s="125" t="s">
        <v>97</v>
      </c>
      <c r="BA1" s="166" t="s">
        <v>94</v>
      </c>
    </row>
    <row r="2" spans="1:53" ht="15" customHeight="1" thickBot="1" x14ac:dyDescent="0.3">
      <c r="A2" s="95" t="s">
        <v>82</v>
      </c>
      <c r="B2" s="96">
        <v>0.06</v>
      </c>
      <c r="F2" s="120" t="s">
        <v>132</v>
      </c>
      <c r="G2" s="121" t="s">
        <v>133</v>
      </c>
      <c r="AJ2" s="129" t="s">
        <v>4</v>
      </c>
      <c r="AK2" s="130">
        <f>'BMP Selection'!AU3/12</f>
        <v>8.8582724999999993E-6</v>
      </c>
      <c r="AL2" s="133">
        <v>1E-4</v>
      </c>
      <c r="AM2" s="136">
        <v>0.14000000000000001</v>
      </c>
      <c r="AO2" s="142" t="s">
        <v>4</v>
      </c>
      <c r="AP2" s="143">
        <f>'BMP Selection'!AR3*62.4</f>
        <v>87.36</v>
      </c>
      <c r="AQ2" s="137">
        <v>6.3584918788109606E-5</v>
      </c>
      <c r="AS2" s="148">
        <v>1</v>
      </c>
      <c r="AT2" s="149">
        <v>0.5</v>
      </c>
      <c r="AV2" s="154">
        <v>0.5</v>
      </c>
      <c r="AX2" s="90"/>
      <c r="AY2" s="90"/>
      <c r="AZ2" s="125"/>
      <c r="BA2" s="166"/>
    </row>
    <row r="3" spans="1:53" ht="15.75" customHeight="1" thickBot="1" x14ac:dyDescent="0.3">
      <c r="A3" s="95" t="s">
        <v>84</v>
      </c>
      <c r="B3" s="95">
        <v>20</v>
      </c>
      <c r="F3" s="122">
        <v>1</v>
      </c>
      <c r="G3" s="123">
        <v>200</v>
      </c>
      <c r="AJ3" s="129" t="s">
        <v>10</v>
      </c>
      <c r="AK3" s="130">
        <f>'BMP Selection'!AU4/12</f>
        <v>2.9527574999999997E-5</v>
      </c>
      <c r="AL3" s="133">
        <v>1E-3</v>
      </c>
      <c r="AM3" s="137">
        <v>0.35</v>
      </c>
      <c r="AO3" s="142" t="s">
        <v>10</v>
      </c>
      <c r="AP3" s="143">
        <f>'BMP Selection'!AR4*62.4</f>
        <v>102.96</v>
      </c>
      <c r="AQ3" s="137">
        <v>5.1761639596036588E-4</v>
      </c>
      <c r="AS3" s="148">
        <v>0.9</v>
      </c>
      <c r="AT3" s="149">
        <f t="shared" ref="AT3:AT11" si="0">(((AS3-$AS$12)*(AT2-$AT$12))/(AS2-$AS$12))+$AT$12</f>
        <v>0.45299999999999996</v>
      </c>
      <c r="AV3" s="154">
        <v>1</v>
      </c>
      <c r="AX3" s="90" t="s">
        <v>15</v>
      </c>
      <c r="AY3" s="80"/>
      <c r="AZ3" s="80"/>
      <c r="BA3" s="80"/>
    </row>
    <row r="4" spans="1:53" ht="15" customHeight="1" thickBot="1" x14ac:dyDescent="0.3">
      <c r="A4" s="97" t="s">
        <v>83</v>
      </c>
      <c r="B4" s="95">
        <v>0.4</v>
      </c>
      <c r="C4" t="s">
        <v>117</v>
      </c>
      <c r="D4">
        <f>IF(B4=1,AT2,IF(B4=0.9,AT3,IF(B4=0.8,AT4,IF(B4=0.7,AT5,IF(B4=0.6,AT6,IF(B4=0.5,AT7,IF(B4=0.4,AT8,IF(B4=0.3,AT9,IF(B4=0.2,AT10,IF(B4=0.1,AT11,AT12))))))))))</f>
        <v>0.21799999999999989</v>
      </c>
      <c r="F4" s="122">
        <v>2</v>
      </c>
      <c r="G4" s="123">
        <v>100</v>
      </c>
      <c r="AJ4" s="129" t="s">
        <v>11</v>
      </c>
      <c r="AK4" s="130">
        <f>'BMP Selection'!AU5/12</f>
        <v>1.4107619166666666E-4</v>
      </c>
      <c r="AL4" s="133">
        <v>0.01</v>
      </c>
      <c r="AM4" s="137">
        <v>0.55000000000000004</v>
      </c>
      <c r="AO4" s="142" t="s">
        <v>11</v>
      </c>
      <c r="AP4" s="143">
        <f>'BMP Selection'!AR5*62.4</f>
        <v>106.08</v>
      </c>
      <c r="AQ4" s="137">
        <v>6.5948674856029814E-3</v>
      </c>
      <c r="AS4" s="148">
        <v>0.8</v>
      </c>
      <c r="AT4" s="149">
        <f t="shared" si="0"/>
        <v>0.40599999999999992</v>
      </c>
      <c r="AV4" s="154">
        <v>1.5</v>
      </c>
      <c r="AX4" s="90" t="s">
        <v>12</v>
      </c>
      <c r="AY4" s="91">
        <v>7.8740199999999992E-6</v>
      </c>
      <c r="AZ4" s="92">
        <v>4.1964372256097712E-5</v>
      </c>
      <c r="BA4" s="91">
        <f t="shared" ref="BA4:BA11" si="1">AZ4+0.5</f>
        <v>0.50004196437225612</v>
      </c>
    </row>
    <row r="5" spans="1:53" ht="30" customHeight="1" thickBot="1" x14ac:dyDescent="0.3">
      <c r="A5" s="97" t="s">
        <v>131</v>
      </c>
      <c r="B5" s="95">
        <v>2</v>
      </c>
      <c r="F5" s="122">
        <v>4</v>
      </c>
      <c r="G5" s="123">
        <v>50</v>
      </c>
      <c r="AJ5" s="129" t="s">
        <v>8</v>
      </c>
      <c r="AK5" s="130">
        <f>'BMP Selection'!AU6/12</f>
        <v>1.181103E-3</v>
      </c>
      <c r="AL5" s="133">
        <v>0.1</v>
      </c>
      <c r="AM5" s="137">
        <v>0.75</v>
      </c>
      <c r="AO5" s="142" t="s">
        <v>8</v>
      </c>
      <c r="AP5" s="143">
        <f>'BMP Selection'!AR6*62.4</f>
        <v>112.32</v>
      </c>
      <c r="AQ5" s="137">
        <v>0.51984558000000014</v>
      </c>
      <c r="AS5" s="148">
        <v>0.7</v>
      </c>
      <c r="AT5" s="149">
        <f t="shared" si="0"/>
        <v>0.35899999999999987</v>
      </c>
      <c r="AV5" s="154">
        <v>2</v>
      </c>
      <c r="AX5" s="90" t="s">
        <v>4</v>
      </c>
      <c r="AY5" s="91">
        <v>8.8582724999999993E-6</v>
      </c>
      <c r="AZ5" s="92">
        <v>6.3584918788109606E-5</v>
      </c>
      <c r="BA5" s="91">
        <f t="shared" si="1"/>
        <v>0.50006358491878811</v>
      </c>
    </row>
    <row r="6" spans="1:53" ht="15.75" thickBot="1" x14ac:dyDescent="0.3">
      <c r="A6" s="97" t="s">
        <v>130</v>
      </c>
      <c r="B6" s="98">
        <v>0.4</v>
      </c>
      <c r="F6" s="122">
        <v>6</v>
      </c>
      <c r="G6" s="123">
        <v>33</v>
      </c>
      <c r="AJ6" s="129" t="s">
        <v>9</v>
      </c>
      <c r="AK6" s="130">
        <f>'BMP Selection'!AU7/12</f>
        <v>9.5144408333333326E-4</v>
      </c>
      <c r="AL6" s="133">
        <v>0.2</v>
      </c>
      <c r="AM6" s="137">
        <v>0.8</v>
      </c>
      <c r="AO6" s="142" t="s">
        <v>9</v>
      </c>
      <c r="AP6" s="143">
        <f>'BMP Selection'!AR7*62.4</f>
        <v>112.32</v>
      </c>
      <c r="AQ6" s="137">
        <v>0.11259608355887937</v>
      </c>
      <c r="AS6" s="148">
        <v>0.6</v>
      </c>
      <c r="AT6" s="149">
        <f t="shared" si="0"/>
        <v>0.31199999999999983</v>
      </c>
      <c r="AV6" s="154">
        <v>2.5</v>
      </c>
      <c r="AX6" s="90" t="s">
        <v>13</v>
      </c>
      <c r="AY6" s="91">
        <v>2.6246733333333331E-5</v>
      </c>
      <c r="AZ6" s="92">
        <v>4.4554790752032508E-4</v>
      </c>
      <c r="BA6" s="91">
        <f t="shared" si="1"/>
        <v>0.50044554790752027</v>
      </c>
    </row>
    <row r="7" spans="1:53" ht="15.75" thickBot="1" x14ac:dyDescent="0.3">
      <c r="A7" s="97" t="s">
        <v>129</v>
      </c>
      <c r="B7" s="98">
        <v>2</v>
      </c>
      <c r="F7" s="175" t="s">
        <v>134</v>
      </c>
      <c r="G7" s="176"/>
      <c r="AJ7" s="129" t="s">
        <v>5</v>
      </c>
      <c r="AK7" s="130">
        <f>'BMP Selection'!AU8/12</f>
        <v>6.5616833333333343E-4</v>
      </c>
      <c r="AL7" s="133">
        <v>0.3</v>
      </c>
      <c r="AM7" s="137">
        <v>0.84</v>
      </c>
      <c r="AO7" s="142" t="s">
        <v>5</v>
      </c>
      <c r="AP7" s="143">
        <f>'BMP Selection'!AR8*62.4</f>
        <v>99.84</v>
      </c>
      <c r="AQ7" s="137">
        <v>8.1007466999050343E-2</v>
      </c>
      <c r="AS7" s="148">
        <v>0.5</v>
      </c>
      <c r="AT7" s="149">
        <f t="shared" si="0"/>
        <v>0.26499999999999985</v>
      </c>
      <c r="AV7" s="154">
        <v>3</v>
      </c>
      <c r="AX7" s="90" t="s">
        <v>10</v>
      </c>
      <c r="AY7" s="91">
        <v>2.9527574999999997E-5</v>
      </c>
      <c r="AZ7" s="92">
        <v>5.1761639596036588E-4</v>
      </c>
      <c r="BA7" s="91">
        <f t="shared" si="1"/>
        <v>0.50051761639596037</v>
      </c>
    </row>
    <row r="8" spans="1:53" ht="15" customHeight="1" thickBot="1" x14ac:dyDescent="0.3">
      <c r="A8" s="97" t="s">
        <v>128</v>
      </c>
      <c r="B8" s="98">
        <v>6</v>
      </c>
      <c r="F8" s="122">
        <v>8</v>
      </c>
      <c r="G8" s="123">
        <v>25</v>
      </c>
      <c r="AJ8" s="129" t="s">
        <v>6</v>
      </c>
      <c r="AK8" s="130">
        <f>'BMP Selection'!AU9/12</f>
        <v>6.5616833333333343E-4</v>
      </c>
      <c r="AL8" s="133">
        <v>0.4</v>
      </c>
      <c r="AM8" s="137">
        <v>0.87</v>
      </c>
      <c r="AO8" s="142" t="s">
        <v>6</v>
      </c>
      <c r="AP8" s="143">
        <f>'BMP Selection'!AR9*62.4</f>
        <v>106.08</v>
      </c>
      <c r="AQ8" s="137">
        <v>8.1007466999050343E-2</v>
      </c>
      <c r="AS8" s="148">
        <v>0.4</v>
      </c>
      <c r="AT8" s="149">
        <f t="shared" si="0"/>
        <v>0.21799999999999989</v>
      </c>
      <c r="AV8" s="154">
        <v>3.5</v>
      </c>
      <c r="AX8" s="90" t="s">
        <v>14</v>
      </c>
      <c r="AY8" s="91">
        <v>6.8897675000000001E-5</v>
      </c>
      <c r="AZ8" s="92">
        <v>1.5409042759146349E-3</v>
      </c>
      <c r="BA8" s="91">
        <f t="shared" si="1"/>
        <v>0.50154090427591469</v>
      </c>
    </row>
    <row r="9" spans="1:53" ht="15" customHeight="1" thickBot="1" x14ac:dyDescent="0.3">
      <c r="A9" s="97" t="s">
        <v>127</v>
      </c>
      <c r="B9" s="98">
        <v>33</v>
      </c>
      <c r="F9" s="122">
        <v>10</v>
      </c>
      <c r="G9" s="123">
        <v>20</v>
      </c>
      <c r="AJ9" s="129" t="s">
        <v>7</v>
      </c>
      <c r="AK9" s="130">
        <f>'BMP Selection'!AU10/12</f>
        <v>8.5301883333333331E-4</v>
      </c>
      <c r="AL9" s="133">
        <v>0.5</v>
      </c>
      <c r="AM9" s="137">
        <v>0.89</v>
      </c>
      <c r="AO9" s="142" t="s">
        <v>7</v>
      </c>
      <c r="AP9" s="143">
        <f>'BMP Selection'!AR10*62.4</f>
        <v>109.2</v>
      </c>
      <c r="AQ9" s="137">
        <v>0.10206654470560303</v>
      </c>
      <c r="AS9" s="148">
        <v>0.3</v>
      </c>
      <c r="AT9" s="149">
        <f t="shared" si="0"/>
        <v>0.1709999999999999</v>
      </c>
      <c r="AV9" s="155">
        <v>4</v>
      </c>
      <c r="AX9" s="90" t="s">
        <v>11</v>
      </c>
      <c r="AY9" s="91">
        <v>1.4107619166666666E-4</v>
      </c>
      <c r="AZ9" s="92">
        <v>6.5948674856029814E-3</v>
      </c>
      <c r="BA9" s="91">
        <f t="shared" si="1"/>
        <v>0.50659486748560301</v>
      </c>
    </row>
    <row r="10" spans="1:53" ht="15" customHeight="1" x14ac:dyDescent="0.25">
      <c r="A10" s="97" t="s">
        <v>137</v>
      </c>
      <c r="B10" s="98">
        <v>11.3</v>
      </c>
      <c r="F10" s="106"/>
      <c r="G10" s="106"/>
      <c r="AJ10" s="129" t="s">
        <v>15</v>
      </c>
      <c r="AK10" s="130">
        <f>'BMP Selection'!AU11/12</f>
        <v>6.5616833333333327E-6</v>
      </c>
      <c r="AL10" s="133">
        <v>0.6</v>
      </c>
      <c r="AM10" s="137">
        <v>0.9</v>
      </c>
      <c r="AO10" s="142" t="s">
        <v>15</v>
      </c>
      <c r="AP10" s="143">
        <f>'BMP Selection'!AR11*62.4</f>
        <v>96.72</v>
      </c>
      <c r="AQ10" s="137">
        <v>8.1000000000000003E-2</v>
      </c>
      <c r="AS10" s="148">
        <v>0.2</v>
      </c>
      <c r="AT10" s="149">
        <f t="shared" si="0"/>
        <v>0.12399999999999994</v>
      </c>
      <c r="AX10" s="90" t="s">
        <v>5</v>
      </c>
      <c r="AY10" s="91">
        <v>6.5616833333333343E-4</v>
      </c>
      <c r="AZ10" s="92">
        <v>8.1007466999050343E-2</v>
      </c>
      <c r="BA10" s="91">
        <f t="shared" si="1"/>
        <v>0.58100746699905037</v>
      </c>
    </row>
    <row r="11" spans="1:53" ht="15" customHeight="1" x14ac:dyDescent="0.25">
      <c r="A11" s="102" t="s">
        <v>136</v>
      </c>
      <c r="B11" s="126">
        <f>(0.5*B9*B7*B3*B8)/43560</f>
        <v>9.0909090909090912E-2</v>
      </c>
      <c r="F11" s="106"/>
      <c r="G11" s="106"/>
      <c r="AJ11" s="129" t="s">
        <v>14</v>
      </c>
      <c r="AK11" s="130">
        <f>'BMP Selection'!AU12/12</f>
        <v>6.8897675000000001E-5</v>
      </c>
      <c r="AL11" s="133">
        <v>0.7</v>
      </c>
      <c r="AM11" s="137">
        <v>0.91</v>
      </c>
      <c r="AO11" s="142" t="s">
        <v>14</v>
      </c>
      <c r="AP11" s="143">
        <f>'BMP Selection'!AR12*62.4</f>
        <v>96.72</v>
      </c>
      <c r="AQ11" s="137">
        <v>1.5409042759146349E-3</v>
      </c>
      <c r="AS11" s="148">
        <v>0.1</v>
      </c>
      <c r="AT11" s="149">
        <f t="shared" si="0"/>
        <v>7.6999999999999971E-2</v>
      </c>
      <c r="AX11" s="90" t="s">
        <v>6</v>
      </c>
      <c r="AY11" s="91">
        <v>6.5616833333333343E-4</v>
      </c>
      <c r="AZ11" s="92">
        <v>8.1007466999050343E-2</v>
      </c>
      <c r="BA11" s="91">
        <f t="shared" si="1"/>
        <v>0.58100746699905037</v>
      </c>
    </row>
    <row r="12" spans="1:53" ht="15" customHeight="1" thickBot="1" x14ac:dyDescent="0.3">
      <c r="A12" s="102" t="s">
        <v>138</v>
      </c>
      <c r="B12" s="126">
        <f>B11/B10</f>
        <v>8.0450522928399038E-3</v>
      </c>
      <c r="F12" s="106"/>
      <c r="G12" s="106"/>
      <c r="AJ12" s="129" t="s">
        <v>12</v>
      </c>
      <c r="AK12" s="130">
        <f>'BMP Selection'!AU13/12</f>
        <v>7.8740199999999992E-6</v>
      </c>
      <c r="AL12" s="133">
        <v>0.8</v>
      </c>
      <c r="AM12" s="137">
        <v>0.93</v>
      </c>
      <c r="AO12" s="142" t="s">
        <v>12</v>
      </c>
      <c r="AP12" s="143">
        <f>'BMP Selection'!AR13*62.4</f>
        <v>90.47999999999999</v>
      </c>
      <c r="AQ12" s="137">
        <v>4.1964372256097712E-5</v>
      </c>
      <c r="AS12" s="150">
        <v>0</v>
      </c>
      <c r="AT12" s="151">
        <v>0.03</v>
      </c>
      <c r="AX12" s="90" t="s">
        <v>7</v>
      </c>
      <c r="AY12" s="91">
        <v>8.5301883333333331E-4</v>
      </c>
      <c r="AZ12" s="92">
        <v>0.10206654470560303</v>
      </c>
      <c r="BA12" s="91">
        <v>0.62</v>
      </c>
    </row>
    <row r="13" spans="1:53" ht="15.75" thickBot="1" x14ac:dyDescent="0.3">
      <c r="A13" s="21" t="s">
        <v>109</v>
      </c>
      <c r="B13" s="22">
        <f>((B6)/IF(B16="clay",AQ2,IF(B16="clay loam",AQ3,IF(B16="loam",AQ4,IF(B16="loamy sand",AQ5,IF(B16="sand",AQ6,IF(B16="sandy clay",AQ7,IF(B16="sandy clay loam",AQ8,IF(B16="sandy loam",AQ9,IF(B16="silt",AQ10,IF(B16="silt loam",AQ11,IF(B16="silty clay",AQ12,AQ13))))))))))))</f>
        <v>259.58783180257706</v>
      </c>
      <c r="AJ13" s="131" t="s">
        <v>13</v>
      </c>
      <c r="AK13" s="132">
        <f>'BMP Selection'!AU14/12</f>
        <v>2.6246733333333331E-5</v>
      </c>
      <c r="AL13" s="133">
        <v>0.9</v>
      </c>
      <c r="AM13" s="137">
        <v>0.94</v>
      </c>
      <c r="AO13" s="144" t="s">
        <v>13</v>
      </c>
      <c r="AP13" s="145">
        <f>'BMP Selection'!AR14*62.4</f>
        <v>93.6</v>
      </c>
      <c r="AQ13" s="139">
        <v>4.4554790752032508E-4</v>
      </c>
      <c r="AX13" s="90" t="s">
        <v>9</v>
      </c>
      <c r="AY13" s="91">
        <v>9.5144408333333326E-4</v>
      </c>
      <c r="AZ13" s="92">
        <v>0.11259608355887937</v>
      </c>
      <c r="BA13" s="91">
        <v>0.68</v>
      </c>
    </row>
    <row r="14" spans="1:53" ht="15.75" thickBot="1" x14ac:dyDescent="0.3">
      <c r="A14" s="21" t="s">
        <v>110</v>
      </c>
      <c r="B14" s="22">
        <f>IF( B6=0,((B1-(B8*B9))/((1.486/D4)*(((B3*0.01)/(B3+(2*0.01)))^(2/3))*(B2^0.5))),((B1-(B8*B9))/((1.486/D4)*(((B3*B6)/(B3+(2*B6)))^(2/3))*(B2^0.5))))</f>
        <v>58.886304623263229</v>
      </c>
      <c r="AJ14" s="90"/>
      <c r="AK14" s="91"/>
      <c r="AL14" s="138">
        <v>1</v>
      </c>
      <c r="AM14" s="139">
        <v>0.95</v>
      </c>
      <c r="AX14" s="90" t="s">
        <v>8</v>
      </c>
      <c r="AY14" s="91">
        <v>1.181103E-3</v>
      </c>
      <c r="AZ14" s="93">
        <v>0.51984558000000014</v>
      </c>
      <c r="BA14" s="91">
        <v>0.98</v>
      </c>
    </row>
    <row r="15" spans="1:53" x14ac:dyDescent="0.25">
      <c r="A15" s="21" t="s">
        <v>87</v>
      </c>
      <c r="B15" s="21">
        <f>(B1-(B8*B9))*B3*(IF(B6=0,0.01,B6))+(0.5*B7*B9*B8*B3)</f>
        <v>4376</v>
      </c>
      <c r="H15" s="117"/>
      <c r="I15" s="117"/>
      <c r="J15" s="117"/>
      <c r="AJ15" s="90"/>
      <c r="AK15" s="91"/>
      <c r="AL15" s="80"/>
    </row>
    <row r="16" spans="1:53" x14ac:dyDescent="0.25">
      <c r="A16" s="58" t="s">
        <v>33</v>
      </c>
      <c r="B16" s="21" t="str">
        <f>'BMP Selection'!$C$2</f>
        <v>Silt Loam</v>
      </c>
      <c r="J16" s="51"/>
      <c r="AL16" s="72"/>
      <c r="AM16" s="72"/>
    </row>
    <row r="17" spans="1:48" x14ac:dyDescent="0.25">
      <c r="A17" s="61" t="s">
        <v>142</v>
      </c>
      <c r="B17" s="22">
        <f>IF($B$16="clay",AP2,IF($B$16="clay loam",AP3,IF($B$16="Loam",AP4,IF($B$16="Loamy Sand",AP5,IF($B$16="Sand",AP6,IF($B$16="Sandy Clay",AP7,IF($B$16="Sandy Clay Loam",AP8,IF($B$16="Sandy Loam",AP9,IF($B$16="silt",AP10,IF($B$16="Silt Loam",AP11,IF($B$16="Silty Clay",AP12,IF($B$16="Silty Clay Loam",AP13,"Please See Below For More Instructions"))))))))))))</f>
        <v>96.72</v>
      </c>
    </row>
    <row r="18" spans="1:48" x14ac:dyDescent="0.25">
      <c r="A18" s="61" t="s">
        <v>19</v>
      </c>
      <c r="B18" s="152">
        <f>IF($B$16="clay",AK2,IF($B$16="clay loam",AK3,IF($B$16="Loam",AK4,IF($B$16="Loamy Sand",AK5,IF($B$16="Sand",AK6,IF($B$16="Sandy Clay",AK7,IF($B$16="Sandy Clay Loam",AK8,IF($B$16="Sandy Loam",AK9,IF($B$16="silt",AK10,IF($B$16="Silt Loam",AK11,IF($B$16="Silty Clay",AK12, IF($B$16="Silty Clay Loam",AK13,"0"))))))))))))</f>
        <v>6.8897675000000001E-5</v>
      </c>
      <c r="E18" s="75"/>
      <c r="O18" s="117"/>
      <c r="P18" s="117"/>
      <c r="Q18" s="117"/>
      <c r="R18" s="117"/>
      <c r="S18" s="117"/>
      <c r="T18" s="117"/>
      <c r="U18" s="117"/>
      <c r="V18" s="117"/>
      <c r="W18" s="52"/>
      <c r="Y18" s="51"/>
      <c r="AS18" s="75"/>
    </row>
    <row r="19" spans="1:48" ht="30" x14ac:dyDescent="0.25">
      <c r="A19" s="58" t="s">
        <v>70</v>
      </c>
      <c r="B19" s="69">
        <f>('BMP Selection'!C1*2000)/'Infiltration Trench'!B6</f>
        <v>983.91232423490487</v>
      </c>
      <c r="E19" s="75"/>
      <c r="O19" s="119"/>
      <c r="P19" s="119"/>
      <c r="Q19" s="119"/>
      <c r="R19" s="119"/>
      <c r="S19" s="119"/>
      <c r="T19" s="119"/>
      <c r="U19" s="119"/>
      <c r="V19" s="119"/>
      <c r="W19" s="52"/>
      <c r="Y19" s="51"/>
      <c r="AI19" s="52"/>
      <c r="AS19" s="75"/>
    </row>
    <row r="20" spans="1:48" x14ac:dyDescent="0.25">
      <c r="A20" s="58" t="s">
        <v>85</v>
      </c>
      <c r="B20" s="70">
        <f>((IF((B14/B13)&lt;=0.77,(B14/B13),0.77))*(B1-(B8*B9))/B1)+((0.2*((0.0855*LN(B12)+0.945)))+(0.8*(IF((((6000000000000000000*(B18^6))-(20000000000000000*(B18^5))+(20000000000000*(B18^4))-(6000000000*(B18^3))+(1000000*(B18^2))-(34.236*B18)+(0.5004))&gt;=0.9),(0.9),(((6000000000000000000*(B18^6))-(20000000000000000*(B18^5))+(20000000000000*(B18^4))-(6000000000*(B18^3))+(1000000*(B18^2))-(34.236*B18)+0.5004))))))*((B9*B8)/B1)</f>
        <v>0.44914658412326752</v>
      </c>
      <c r="C20" s="4"/>
      <c r="W20" s="52"/>
      <c r="Y20" s="51"/>
      <c r="AI20" s="52"/>
      <c r="AS20" s="75"/>
    </row>
    <row r="21" spans="1:48" ht="30" x14ac:dyDescent="0.25">
      <c r="A21" s="58" t="s">
        <v>86</v>
      </c>
      <c r="B21" s="69">
        <f>B19*B20</f>
        <v>441.92085950689238</v>
      </c>
      <c r="C21" s="4"/>
      <c r="AI21" s="52"/>
      <c r="AK21" s="75"/>
      <c r="AS21" s="75"/>
    </row>
    <row r="22" spans="1:48" x14ac:dyDescent="0.25">
      <c r="A22" s="58" t="s">
        <v>73</v>
      </c>
      <c r="B22" s="69">
        <f>IF(B15/B21&gt;50,"&gt;50",B15/B21)</f>
        <v>9.902225490968819</v>
      </c>
      <c r="Y22" s="51"/>
      <c r="AI22" s="52"/>
      <c r="AS22" s="75"/>
    </row>
    <row r="23" spans="1:48" ht="15" customHeight="1" x14ac:dyDescent="0.25">
      <c r="AI23" s="52"/>
      <c r="AS23" s="75"/>
    </row>
    <row r="24" spans="1:48" x14ac:dyDescent="0.25">
      <c r="W24" s="52"/>
      <c r="AI24" s="52"/>
      <c r="AS24" s="75"/>
    </row>
    <row r="25" spans="1:48" x14ac:dyDescent="0.25">
      <c r="A25" s="124"/>
      <c r="AI25" s="52"/>
    </row>
    <row r="26" spans="1:48" x14ac:dyDescent="0.25">
      <c r="A26" s="124"/>
      <c r="AI26" s="52"/>
    </row>
    <row r="27" spans="1:48" x14ac:dyDescent="0.25">
      <c r="A27" s="124"/>
      <c r="D27" s="107"/>
      <c r="I27" s="107"/>
      <c r="AI27" s="52"/>
    </row>
    <row r="28" spans="1:48" x14ac:dyDescent="0.25">
      <c r="D28" s="107"/>
      <c r="I28" s="107"/>
      <c r="AI28" s="52"/>
    </row>
    <row r="29" spans="1:48" x14ac:dyDescent="0.25">
      <c r="AI29" s="52"/>
    </row>
    <row r="30" spans="1:48" x14ac:dyDescent="0.25">
      <c r="AI30" s="52"/>
      <c r="AT30" s="71"/>
      <c r="AV30" s="118"/>
    </row>
    <row r="31" spans="1:48" ht="15" customHeight="1" x14ac:dyDescent="0.25">
      <c r="AI31" s="52"/>
      <c r="AV31" s="118"/>
    </row>
    <row r="32" spans="1:48" x14ac:dyDescent="0.25">
      <c r="AI32" s="52"/>
      <c r="AV32" s="118"/>
    </row>
    <row r="33" spans="35:55" ht="15" customHeight="1" x14ac:dyDescent="0.25">
      <c r="AI33" s="52"/>
      <c r="AV33" s="118"/>
    </row>
    <row r="34" spans="35:55" x14ac:dyDescent="0.25">
      <c r="AI34" s="52"/>
    </row>
    <row r="35" spans="35:55" x14ac:dyDescent="0.25">
      <c r="AI35" s="52"/>
    </row>
    <row r="36" spans="35:55" x14ac:dyDescent="0.25">
      <c r="AI36" s="52"/>
      <c r="AX36" s="118"/>
      <c r="AY36" s="118"/>
      <c r="AZ36" s="118"/>
      <c r="BA36" s="118"/>
    </row>
    <row r="37" spans="35:55" ht="15" customHeight="1" x14ac:dyDescent="0.25">
      <c r="AI37" s="52"/>
      <c r="AW37" s="118"/>
      <c r="AX37" s="118"/>
      <c r="AY37" s="118"/>
      <c r="AZ37" s="118"/>
      <c r="BA37" s="118"/>
      <c r="BB37" s="118"/>
      <c r="BC37" s="118"/>
    </row>
    <row r="38" spans="35:55" x14ac:dyDescent="0.25">
      <c r="AL38" s="50"/>
      <c r="AW38" s="118"/>
      <c r="AX38" s="118"/>
      <c r="AY38" s="118"/>
      <c r="AZ38" s="118"/>
      <c r="BA38" s="118"/>
      <c r="BB38" s="118"/>
      <c r="BC38" s="118"/>
    </row>
    <row r="39" spans="35:55" x14ac:dyDescent="0.25">
      <c r="AW39" s="118"/>
      <c r="AX39" s="118"/>
      <c r="AY39" s="118"/>
      <c r="AZ39" s="118"/>
      <c r="BA39" s="118"/>
      <c r="BB39" s="118"/>
      <c r="BC39" s="118"/>
    </row>
    <row r="40" spans="35:55" x14ac:dyDescent="0.25">
      <c r="AK40" s="50"/>
      <c r="AW40" s="118"/>
      <c r="BB40" s="118"/>
      <c r="BC40" s="118"/>
    </row>
  </sheetData>
  <sheetProtection formatCells="0" formatColumns="0" formatRows="0" insertColumns="0" insertRows="0"/>
  <mergeCells count="3">
    <mergeCell ref="BA1:BA2"/>
    <mergeCell ref="F1:G1"/>
    <mergeCell ref="F7:G7"/>
  </mergeCells>
  <dataValidations count="2">
    <dataValidation type="list" allowBlank="1" showInputMessage="1" showErrorMessage="1" sqref="B5">
      <formula1>$AV$2:$AV$9</formula1>
    </dataValidation>
    <dataValidation type="list" allowBlank="1" showInputMessage="1" showErrorMessage="1" sqref="B4">
      <formula1>$AS$2:$AS$12</formula1>
    </dataValidation>
  </dataValidations>
  <pageMargins left="0.7" right="0.7" top="0.75" bottom="0.75" header="0.3" footer="0.3"/>
  <pageSetup orientation="portrait" horizontalDpi="4294967293" verticalDpi="4294967293" r:id="rId1"/>
  <ignoredErrors>
    <ignoredError sqref="B11:B12" unlockedFormula="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9"/>
  <sheetViews>
    <sheetView tabSelected="1" workbookViewId="0">
      <selection activeCell="B5" sqref="B5"/>
    </sheetView>
  </sheetViews>
  <sheetFormatPr defaultRowHeight="15" x14ac:dyDescent="0.25"/>
  <cols>
    <col min="1" max="1" width="30.140625" customWidth="1"/>
    <col min="2" max="5" width="9.140625" customWidth="1"/>
    <col min="13" max="13" width="34.140625" customWidth="1"/>
    <col min="14" max="14" width="89.140625" customWidth="1"/>
  </cols>
  <sheetData>
    <row r="1" spans="1:50" ht="15" customHeight="1" x14ac:dyDescent="0.25">
      <c r="A1" s="79" t="s">
        <v>139</v>
      </c>
      <c r="B1" s="111">
        <v>2500</v>
      </c>
      <c r="D1" s="172" t="s">
        <v>118</v>
      </c>
      <c r="E1" s="172"/>
      <c r="F1" s="172"/>
      <c r="G1" s="172"/>
      <c r="H1" s="172"/>
      <c r="AU1" t="s">
        <v>16</v>
      </c>
      <c r="AW1" t="s">
        <v>28</v>
      </c>
      <c r="AX1" t="s">
        <v>120</v>
      </c>
    </row>
    <row r="2" spans="1:50" x14ac:dyDescent="0.25">
      <c r="A2" s="79" t="s">
        <v>121</v>
      </c>
      <c r="B2" s="112">
        <v>1.5</v>
      </c>
      <c r="D2" s="172"/>
      <c r="E2" s="172"/>
      <c r="F2" s="172"/>
      <c r="G2" s="172"/>
      <c r="H2" s="172"/>
      <c r="AT2" t="s">
        <v>4</v>
      </c>
      <c r="AU2" s="3">
        <f>'BMP Selection'!AR3*62.4</f>
        <v>87.36</v>
      </c>
      <c r="AW2">
        <v>1E-4</v>
      </c>
      <c r="AX2" s="157">
        <f>0.0999*LN(AW2)+0.9239</f>
        <v>3.7869968395795039E-3</v>
      </c>
    </row>
    <row r="3" spans="1:50" ht="30" customHeight="1" x14ac:dyDescent="0.25">
      <c r="A3" s="79" t="s">
        <v>30</v>
      </c>
      <c r="B3" s="112">
        <v>11.39</v>
      </c>
      <c r="AT3" t="s">
        <v>10</v>
      </c>
      <c r="AU3" s="3">
        <f>'BMP Selection'!AR4*62.4</f>
        <v>102.96</v>
      </c>
      <c r="AW3">
        <v>5.0000000000000001E-4</v>
      </c>
      <c r="AX3" s="157">
        <f t="shared" ref="AX3:AX12" si="0">0.0999*LN(AW3)+0.9239</f>
        <v>0.16456984429174604</v>
      </c>
    </row>
    <row r="4" spans="1:50" ht="30" customHeight="1" x14ac:dyDescent="0.25">
      <c r="A4" s="79" t="s">
        <v>141</v>
      </c>
      <c r="B4" s="112">
        <v>0.75</v>
      </c>
      <c r="AU4" s="3"/>
      <c r="AW4">
        <v>8.0000000000000004E-4</v>
      </c>
      <c r="AX4" s="157">
        <f t="shared" si="0"/>
        <v>0.21152320685339498</v>
      </c>
    </row>
    <row r="5" spans="1:50" x14ac:dyDescent="0.25">
      <c r="A5" s="102" t="s">
        <v>122</v>
      </c>
      <c r="B5" s="103">
        <f>((B1*B2)/43560)+(B4*0.4*((B1)/43560))</f>
        <v>0.10330578512396695</v>
      </c>
      <c r="AT5" t="s">
        <v>11</v>
      </c>
      <c r="AU5" s="3">
        <f>'BMP Selection'!AR5*62.4</f>
        <v>106.08</v>
      </c>
      <c r="AW5">
        <v>1E-3</v>
      </c>
      <c r="AX5" s="157">
        <f t="shared" si="0"/>
        <v>0.23381524762968453</v>
      </c>
    </row>
    <row r="6" spans="1:50" ht="15" customHeight="1" x14ac:dyDescent="0.25">
      <c r="A6" s="68" t="s">
        <v>119</v>
      </c>
      <c r="B6" s="64">
        <f>B5/(B3)</f>
        <v>9.0698669994703201E-3</v>
      </c>
      <c r="D6" s="172" t="s">
        <v>140</v>
      </c>
      <c r="E6" s="172"/>
      <c r="F6" s="172"/>
      <c r="G6" s="172"/>
      <c r="H6" s="172"/>
      <c r="AT6" t="s">
        <v>8</v>
      </c>
      <c r="AU6" s="3">
        <f>'BMP Selection'!AR6*62.4</f>
        <v>112.32</v>
      </c>
      <c r="AW6">
        <v>5.0000000000000001E-3</v>
      </c>
      <c r="AX6" s="157">
        <f t="shared" si="0"/>
        <v>0.39459809508185117</v>
      </c>
    </row>
    <row r="7" spans="1:50" ht="30" customHeight="1" x14ac:dyDescent="0.25">
      <c r="A7" s="58" t="s">
        <v>33</v>
      </c>
      <c r="B7" s="61" t="str">
        <f>'BMP Selection'!$C$2</f>
        <v>Silt Loam</v>
      </c>
      <c r="D7" s="172"/>
      <c r="E7" s="172"/>
      <c r="F7" s="172"/>
      <c r="G7" s="172"/>
      <c r="H7" s="172"/>
      <c r="I7" s="114"/>
      <c r="AT7" t="s">
        <v>9</v>
      </c>
      <c r="AU7" s="3">
        <f>'BMP Selection'!AR7*62.4</f>
        <v>112.32</v>
      </c>
      <c r="AW7">
        <v>8.9999999999999993E-3</v>
      </c>
      <c r="AX7" s="157">
        <f t="shared" si="0"/>
        <v>0.45331798290557285</v>
      </c>
    </row>
    <row r="8" spans="1:50" x14ac:dyDescent="0.25">
      <c r="A8" s="61" t="s">
        <v>142</v>
      </c>
      <c r="B8" s="63">
        <f>IF($B$7="clay",AU2,IF($B$7="clay loam",AU3,IF($B$7="Loam",AU5,IF($B$7="Loamy Sand",AU6,IF($B$7="Sand",AU7,IF($B$7="Sandy Clay",AU8,IF($B$7="Sandy Clay Loam",AU9,IF($B$7="Sandy Loam",AU10,IF($B$7="silt",AU11,IF($B$7="Silt Loam",AU12,IF($B$7="Silty Clay",AU13,IF($B$7="Silty Clay Loam",AU14,100))))))))))))</f>
        <v>96.72</v>
      </c>
      <c r="D8" s="101"/>
      <c r="E8" s="101"/>
      <c r="F8" s="101"/>
      <c r="G8" s="101"/>
      <c r="M8" s="177"/>
      <c r="N8" s="177"/>
      <c r="AT8" t="s">
        <v>5</v>
      </c>
      <c r="AU8" s="3">
        <f>'BMP Selection'!AR8*62.4</f>
        <v>99.84</v>
      </c>
      <c r="AW8">
        <v>0.05</v>
      </c>
      <c r="AX8" s="157">
        <f t="shared" si="0"/>
        <v>0.62462634587195631</v>
      </c>
    </row>
    <row r="9" spans="1:50" ht="30" x14ac:dyDescent="0.25">
      <c r="A9" s="58" t="s">
        <v>70</v>
      </c>
      <c r="B9" s="66">
        <f>('BMP Selection'!C1*2000)/B8</f>
        <v>983.91232423490487</v>
      </c>
      <c r="M9" s="105"/>
      <c r="N9" s="105"/>
      <c r="AT9" t="s">
        <v>6</v>
      </c>
      <c r="AU9" s="3">
        <f>'BMP Selection'!AR9*62.4</f>
        <v>106.08</v>
      </c>
      <c r="AW9">
        <v>0.11</v>
      </c>
      <c r="AX9" s="157">
        <f t="shared" si="0"/>
        <v>0.70339323617234695</v>
      </c>
    </row>
    <row r="10" spans="1:50" x14ac:dyDescent="0.25">
      <c r="A10" s="58" t="s">
        <v>71</v>
      </c>
      <c r="B10" s="116">
        <f>IF(B6&gt;=1.6,0.98,((0.1*LN(B6)+0.92)))</f>
        <v>0.44972023212524237</v>
      </c>
      <c r="M10" s="106"/>
      <c r="N10" s="106"/>
      <c r="AT10" t="s">
        <v>7</v>
      </c>
      <c r="AU10" s="3">
        <f>'BMP Selection'!AR10*62.4</f>
        <v>109.2</v>
      </c>
      <c r="AW10">
        <v>0.35</v>
      </c>
      <c r="AX10" s="157">
        <f t="shared" si="0"/>
        <v>0.81902276976258215</v>
      </c>
    </row>
    <row r="11" spans="1:50" ht="30" x14ac:dyDescent="0.25">
      <c r="A11" s="58" t="s">
        <v>72</v>
      </c>
      <c r="B11" s="67">
        <f>B9*B10</f>
        <v>442.48527884580812</v>
      </c>
      <c r="C11" s="108"/>
      <c r="M11" s="106"/>
      <c r="N11" s="106"/>
      <c r="AT11" t="s">
        <v>15</v>
      </c>
      <c r="AU11" s="3">
        <f>'BMP Selection'!AR11*62.4</f>
        <v>96.72</v>
      </c>
      <c r="AW11">
        <v>0.8</v>
      </c>
      <c r="AX11" s="157">
        <f t="shared" si="0"/>
        <v>0.90160795922371051</v>
      </c>
    </row>
    <row r="12" spans="1:50" ht="30" x14ac:dyDescent="0.25">
      <c r="A12" s="58" t="s">
        <v>73</v>
      </c>
      <c r="B12" s="67">
        <f>IF((B5*0.1)/(B11/43560)&gt;50,"&gt;50",(B5*0.1)/(B11/43560))</f>
        <v>1.0169829856798707</v>
      </c>
      <c r="C12" s="109"/>
      <c r="D12" s="115"/>
      <c r="M12" s="106"/>
      <c r="N12" s="106"/>
      <c r="AT12" t="s">
        <v>14</v>
      </c>
      <c r="AU12" s="3">
        <f>'BMP Selection'!AR12*62.4</f>
        <v>96.72</v>
      </c>
      <c r="AW12">
        <v>1.6</v>
      </c>
      <c r="AX12" s="157">
        <f t="shared" si="0"/>
        <v>0.970853362561649</v>
      </c>
    </row>
    <row r="13" spans="1:50" x14ac:dyDescent="0.25">
      <c r="C13" s="110"/>
      <c r="D13" s="53"/>
      <c r="M13" s="106"/>
      <c r="N13" s="106"/>
      <c r="AT13" t="s">
        <v>12</v>
      </c>
      <c r="AU13" s="3">
        <f>'BMP Selection'!AR13*62.4</f>
        <v>90.47999999999999</v>
      </c>
    </row>
    <row r="14" spans="1:50" ht="15" customHeight="1" x14ac:dyDescent="0.25">
      <c r="M14" s="106"/>
      <c r="N14" s="106"/>
      <c r="AT14" t="s">
        <v>13</v>
      </c>
      <c r="AU14" s="3">
        <f>'BMP Selection'!AR14*62.4</f>
        <v>93.6</v>
      </c>
    </row>
    <row r="15" spans="1:50" x14ac:dyDescent="0.25">
      <c r="M15" s="106"/>
      <c r="N15" s="106"/>
    </row>
    <row r="16" spans="1:50" ht="15" customHeight="1" x14ac:dyDescent="0.25">
      <c r="M16" s="106"/>
      <c r="N16" s="106"/>
    </row>
    <row r="17" spans="3:14" x14ac:dyDescent="0.25">
      <c r="C17" s="104"/>
      <c r="M17" s="106"/>
      <c r="N17" s="106"/>
    </row>
    <row r="18" spans="3:14" x14ac:dyDescent="0.25">
      <c r="M18" s="106"/>
      <c r="N18" s="106"/>
    </row>
    <row r="19" spans="3:14" x14ac:dyDescent="0.25">
      <c r="M19" s="106"/>
      <c r="N19" s="106"/>
    </row>
    <row r="26" spans="3:14" x14ac:dyDescent="0.25">
      <c r="H26" s="107"/>
    </row>
    <row r="27" spans="3:14" x14ac:dyDescent="0.25">
      <c r="C27" s="113"/>
      <c r="D27" s="113"/>
      <c r="E27" s="113"/>
    </row>
    <row r="28" spans="3:14" x14ac:dyDescent="0.25">
      <c r="C28" s="113"/>
      <c r="D28" s="113"/>
      <c r="E28" s="113"/>
    </row>
    <row r="29" spans="3:14" x14ac:dyDescent="0.25">
      <c r="C29" s="113"/>
      <c r="D29" s="113"/>
      <c r="E29" s="113"/>
    </row>
  </sheetData>
  <mergeCells count="3">
    <mergeCell ref="D1:H2"/>
    <mergeCell ref="M8:N8"/>
    <mergeCell ref="D6:H7"/>
  </mergeCells>
  <pageMargins left="0.7" right="0.7" top="0.75" bottom="0.75" header="0.3" footer="0.3"/>
  <pageSetup orientation="portrait" horizontalDpi="4294967293" verticalDpi="4294967293" r:id="rId1"/>
  <ignoredErrors>
    <ignoredError sqref="B5" unlockedFormula="1"/>
  </ignoredErrors>
  <drawing r:id="rId2"/>
  <extLst>
    <ext xmlns:x14="http://schemas.microsoft.com/office/spreadsheetml/2009/9/main" uri="{CCE6A557-97BC-4b89-ADB6-D9C93CAAB3DF}">
      <x14:dataValidations xmlns:xm="http://schemas.microsoft.com/office/excel/2006/main" disablePrompts="1" count="1">
        <x14:dataValidation type="custom" allowBlank="1" showInputMessage="1" showErrorMessage="1">
          <x14:formula1>
            <xm:f>'BMP Selection'!C3</xm:f>
          </x14:formula1>
          <xm:sqref>B7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BMP Selection</vt:lpstr>
      <vt:lpstr>Detention Pond</vt:lpstr>
      <vt:lpstr>Infiltration Trench</vt:lpstr>
      <vt:lpstr>Grassed Swale</vt:lpstr>
      <vt:lpstr>Grassed Swale Rock Check Dam</vt:lpstr>
      <vt:lpstr>Bioretention (Rain Garden)</vt:lpstr>
      <vt:lpstr>BMPs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dc:creator>
  <cp:lastModifiedBy>Matt</cp:lastModifiedBy>
  <cp:lastPrinted>2015-11-03T03:05:47Z</cp:lastPrinted>
  <dcterms:created xsi:type="dcterms:W3CDTF">2014-10-13T14:58:27Z</dcterms:created>
  <dcterms:modified xsi:type="dcterms:W3CDTF">2015-11-13T16:35:16Z</dcterms:modified>
</cp:coreProperties>
</file>